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BCE61E3A-563F-4206-AB67-371EEB3343E4}" xr6:coauthVersionLast="47" xr6:coauthVersionMax="47" xr10:uidLastSave="{00000000-0000-0000-0000-000000000000}"/>
  <bookViews>
    <workbookView xWindow="-25320" yWindow="-120" windowWidth="25440" windowHeight="15390"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36" i="3" l="1"/>
  <c r="L908" i="3"/>
  <c r="L906" i="3"/>
  <c r="I414" i="3" l="1"/>
  <c r="C30" i="4"/>
  <c r="Q618" i="3" l="1"/>
  <c r="W825" i="3" l="1"/>
  <c r="AC851" i="3"/>
  <c r="AA663" i="3" l="1"/>
  <c r="H663" i="3"/>
  <c r="AA655" i="3"/>
  <c r="H655" i="3"/>
  <c r="AA647" i="3"/>
  <c r="H647" i="3"/>
  <c r="AA639" i="3"/>
  <c r="Z661" i="3"/>
  <c r="Z660" i="3"/>
  <c r="Z659" i="3"/>
  <c r="G661" i="3"/>
  <c r="G660" i="3"/>
  <c r="G659" i="3"/>
  <c r="G653" i="3"/>
  <c r="G652" i="3"/>
  <c r="G651" i="3"/>
  <c r="Z653" i="3"/>
  <c r="Z652" i="3"/>
  <c r="Z651" i="3"/>
  <c r="Z645" i="3"/>
  <c r="Z644" i="3"/>
  <c r="Z643" i="3"/>
  <c r="G645" i="3"/>
  <c r="G644" i="3"/>
  <c r="G643" i="3"/>
  <c r="Z662" i="3"/>
  <c r="G662" i="3"/>
  <c r="Z654" i="3"/>
  <c r="G654" i="3"/>
  <c r="Z646" i="3"/>
  <c r="G646" i="3"/>
  <c r="Z638" i="3"/>
  <c r="Z637" i="3"/>
  <c r="Z636" i="3"/>
  <c r="Z635" i="3"/>
  <c r="H639" i="3"/>
  <c r="G638" i="3"/>
  <c r="G637" i="3"/>
  <c r="G636" i="3"/>
  <c r="G635" i="3"/>
  <c r="H331" i="3"/>
  <c r="H330" i="3"/>
  <c r="H329" i="3"/>
  <c r="H286" i="6"/>
  <c r="W835" i="3"/>
  <c r="W810" i="3"/>
  <c r="W808" i="3"/>
  <c r="W818" i="3"/>
  <c r="E90" i="25" l="1"/>
  <c r="C90" i="25"/>
  <c r="E45" i="25"/>
  <c r="E44" i="25"/>
  <c r="E43" i="25"/>
  <c r="E42" i="25"/>
  <c r="G40" i="25"/>
  <c r="G39" i="25"/>
  <c r="AB70" i="5"/>
  <c r="E583" i="6"/>
  <c r="E582" i="6"/>
  <c r="E579" i="6"/>
  <c r="S84" i="4"/>
  <c r="S29" i="4"/>
  <c r="AA897" i="3"/>
  <c r="E83" i="4"/>
  <c r="E86" i="4"/>
  <c r="E90" i="4"/>
  <c r="E93" i="4"/>
  <c r="E94" i="4"/>
  <c r="E72" i="4"/>
  <c r="E73" i="4"/>
  <c r="E75" i="4"/>
  <c r="E71" i="4"/>
  <c r="E65" i="4"/>
  <c r="E66" i="4"/>
  <c r="E67" i="4"/>
  <c r="E56" i="4"/>
  <c r="E58" i="4"/>
  <c r="E59" i="4"/>
  <c r="E47" i="4"/>
  <c r="E48" i="4"/>
  <c r="E50" i="4"/>
  <c r="E52" i="4"/>
  <c r="E34" i="4"/>
  <c r="E7" i="4"/>
  <c r="L30" i="4"/>
  <c r="K4" i="4"/>
  <c r="J84" i="4"/>
  <c r="I30" i="4"/>
  <c r="H30" i="4"/>
  <c r="G30" i="4"/>
  <c r="C92" i="4"/>
  <c r="E92" i="4" s="1"/>
  <c r="C13" i="4"/>
  <c r="E13" i="4" s="1"/>
  <c r="C51" i="4"/>
  <c r="E51" i="4" s="1"/>
  <c r="C49" i="4"/>
  <c r="E49" i="4" s="1"/>
  <c r="C60" i="4"/>
  <c r="E60" i="4" s="1"/>
  <c r="C57" i="4"/>
  <c r="E57" i="4" s="1"/>
  <c r="C68" i="4"/>
  <c r="E68" i="4" s="1"/>
  <c r="C64" i="4"/>
  <c r="E64" i="4" s="1"/>
  <c r="C88" i="4"/>
  <c r="E88" i="4" s="1"/>
  <c r="C87" i="4"/>
  <c r="E87" i="4" s="1"/>
  <c r="C89" i="4"/>
  <c r="E89" i="4" s="1"/>
  <c r="C85" i="4"/>
  <c r="E85" i="4" s="1"/>
  <c r="C84" i="4"/>
  <c r="E84" i="4" s="1"/>
  <c r="C36" i="4"/>
  <c r="E36" i="4" s="1"/>
  <c r="C91" i="4"/>
  <c r="E91" i="4" s="1"/>
  <c r="C78" i="4"/>
  <c r="E78" i="4" s="1"/>
  <c r="C43" i="4"/>
  <c r="E43" i="4" s="1"/>
  <c r="C41" i="4"/>
  <c r="E41" i="4" s="1"/>
  <c r="C40" i="4"/>
  <c r="E40" i="4" s="1"/>
  <c r="C37" i="4"/>
  <c r="E37" i="4" s="1"/>
  <c r="C35" i="4"/>
  <c r="E35" i="4" s="1"/>
  <c r="C32" i="4"/>
  <c r="C33" i="4" s="1"/>
  <c r="E33" i="4" s="1"/>
  <c r="C31" i="4"/>
  <c r="E31" i="4" s="1"/>
  <c r="C29" i="4"/>
  <c r="E29" i="4" s="1"/>
  <c r="C5" i="4"/>
  <c r="E5" i="4" s="1"/>
  <c r="C6" i="4"/>
  <c r="E6" i="4" s="1"/>
  <c r="C4" i="4"/>
  <c r="AF966" i="3"/>
  <c r="AF970" i="3"/>
  <c r="L909" i="3"/>
  <c r="E4" i="10"/>
  <c r="L907" i="3"/>
  <c r="AA896" i="3"/>
  <c r="AA895" i="3"/>
  <c r="AA880" i="3"/>
  <c r="AC853" i="3"/>
  <c r="AC854" i="3"/>
  <c r="Z777" i="3"/>
  <c r="Z770" i="3"/>
  <c r="O738" i="3"/>
  <c r="AH694" i="3"/>
  <c r="AH693" i="3"/>
  <c r="AH692" i="3"/>
  <c r="Y692" i="3"/>
  <c r="Y693" i="3" s="1"/>
  <c r="Y694" i="3" s="1"/>
  <c r="O694" i="3"/>
  <c r="O693" i="3"/>
  <c r="O692" i="3"/>
  <c r="G694" i="3"/>
  <c r="G693" i="3"/>
  <c r="G692" i="3"/>
  <c r="AO624" i="3"/>
  <c r="AO623" i="3"/>
  <c r="AO622" i="3"/>
  <c r="AO621" i="3"/>
  <c r="AO620" i="3"/>
  <c r="AO619" i="3"/>
  <c r="Q619" i="3"/>
  <c r="Q620" i="3" s="1"/>
  <c r="Q621" i="3" s="1"/>
  <c r="Q624" i="3" s="1"/>
  <c r="W618" i="3"/>
  <c r="T618" i="3"/>
  <c r="AM552" i="3"/>
  <c r="AM551" i="3"/>
  <c r="AM550" i="3"/>
  <c r="AM549" i="3"/>
  <c r="AM548" i="3"/>
  <c r="E4" i="4" l="1"/>
  <c r="E32" i="4"/>
  <c r="AM547" i="3"/>
  <c r="Q548" i="3"/>
  <c r="Q549" i="3" s="1"/>
  <c r="Q552" i="3" s="1"/>
  <c r="Q547" i="3"/>
  <c r="W546" i="3"/>
  <c r="Q546" i="3"/>
  <c r="M250" i="3" l="1"/>
  <c r="M249" i="3"/>
  <c r="M248" i="3"/>
  <c r="AC247" i="3"/>
  <c r="AB278" i="3" s="1"/>
  <c r="W247" i="3"/>
  <c r="V278" i="3" s="1"/>
  <c r="M247" i="3"/>
  <c r="L278" i="3" s="1"/>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s="1"/>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C65" i="25"/>
  <c r="AY918" i="3" l="1"/>
  <c r="AY910" i="3" s="1"/>
  <c r="AY914" i="3" s="1"/>
  <c r="AY916" i="3"/>
  <c r="BG614" i="3"/>
  <c r="BG732" i="3"/>
  <c r="BH709" i="3" s="1"/>
  <c r="AZ260" i="3"/>
  <c r="BG701" i="3"/>
  <c r="BH726" i="3" l="1"/>
  <c r="BH714" i="3"/>
  <c r="BH710" i="3"/>
  <c r="BH729" i="3"/>
  <c r="BH713" i="3"/>
  <c r="BH731" i="3"/>
  <c r="BH717" i="3"/>
  <c r="BH727" i="3"/>
  <c r="BH728" i="3"/>
  <c r="BH724" i="3"/>
  <c r="BH723" i="3"/>
  <c r="BH720" i="3"/>
  <c r="BH711" i="3"/>
  <c r="BH712" i="3"/>
  <c r="BH716" i="3"/>
  <c r="BH730" i="3"/>
  <c r="BH719" i="3"/>
  <c r="BH718" i="3"/>
  <c r="BH708" i="3"/>
  <c r="BH722" i="3"/>
  <c r="BH715"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8" i="9"/>
  <c r="E29" i="9"/>
  <c r="O29" i="9" s="1"/>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C696" i="3"/>
  <c r="AC697" i="3"/>
  <c r="AC698" i="3"/>
  <c r="AC699" i="3"/>
  <c r="AC700" i="3"/>
  <c r="AC701" i="3"/>
  <c r="AC702" i="3"/>
  <c r="AC703" i="3"/>
  <c r="AC704"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K601" i="3" s="1"/>
  <c r="BI602" i="3"/>
  <c r="BK602" i="3" s="1"/>
  <c r="BI603" i="3"/>
  <c r="BI604" i="3"/>
  <c r="BI605" i="3"/>
  <c r="BI606" i="3"/>
  <c r="BI607" i="3"/>
  <c r="BK607" i="3" s="1"/>
  <c r="BI608" i="3"/>
  <c r="BK608" i="3" s="1"/>
  <c r="BI609" i="3"/>
  <c r="BK609" i="3" s="1"/>
  <c r="BI610" i="3"/>
  <c r="BK610" i="3" s="1"/>
  <c r="BI611" i="3"/>
  <c r="BK611" i="3" s="1"/>
  <c r="BI612" i="3"/>
  <c r="BI613" i="3"/>
  <c r="BI589" i="3"/>
  <c r="BK589" i="3" s="1"/>
  <c r="J107" i="4"/>
  <c r="K107" i="4"/>
  <c r="L107" i="4"/>
  <c r="O107" i="4"/>
  <c r="P107" i="4"/>
  <c r="Q107" i="4"/>
  <c r="I107" i="4"/>
  <c r="H107" i="4"/>
  <c r="G107" i="4"/>
  <c r="B100" i="15"/>
  <c r="C100" i="15"/>
  <c r="E100" i="15" s="1"/>
  <c r="D100" i="15"/>
  <c r="B101" i="15"/>
  <c r="C101" i="15"/>
  <c r="D101" i="15"/>
  <c r="B102" i="15"/>
  <c r="C102" i="15"/>
  <c r="E102" i="15"/>
  <c r="D102" i="15"/>
  <c r="B103" i="15"/>
  <c r="C103" i="15"/>
  <c r="D103"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c r="D94" i="15"/>
  <c r="B95" i="15"/>
  <c r="C95" i="15"/>
  <c r="E95" i="15" s="1"/>
  <c r="D95" i="15"/>
  <c r="D79" i="15"/>
  <c r="C79" i="15"/>
  <c r="E79" i="15" s="1"/>
  <c r="B79" i="15"/>
  <c r="B73" i="15"/>
  <c r="C73" i="15"/>
  <c r="E73" i="15" s="1"/>
  <c r="D73" i="15"/>
  <c r="B74" i="15"/>
  <c r="E74" i="15" s="1"/>
  <c r="C74" i="15"/>
  <c r="D74" i="15"/>
  <c r="B76" i="15"/>
  <c r="C76" i="15"/>
  <c r="E76" i="15" s="1"/>
  <c r="D76" i="15"/>
  <c r="D72" i="15"/>
  <c r="C72" i="15"/>
  <c r="B72" i="15"/>
  <c r="B66" i="15"/>
  <c r="C66" i="15"/>
  <c r="E66" i="15"/>
  <c r="D66" i="15"/>
  <c r="B67" i="15"/>
  <c r="C67" i="15"/>
  <c r="E67" i="15" s="1"/>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B48" i="15"/>
  <c r="C48" i="15"/>
  <c r="E48" i="15" s="1"/>
  <c r="D48" i="15"/>
  <c r="B49" i="15"/>
  <c r="C49" i="15"/>
  <c r="E49" i="15" s="1"/>
  <c r="D49" i="15"/>
  <c r="B50" i="15"/>
  <c r="C50" i="15"/>
  <c r="D50" i="15"/>
  <c r="B51" i="15"/>
  <c r="C51" i="15"/>
  <c r="E51" i="15" s="1"/>
  <c r="D51" i="15"/>
  <c r="B52" i="15"/>
  <c r="C52" i="15"/>
  <c r="D52" i="15"/>
  <c r="B53" i="15"/>
  <c r="C53" i="15"/>
  <c r="E53" i="15" s="1"/>
  <c r="D53" i="15"/>
  <c r="B44" i="15"/>
  <c r="C44" i="15"/>
  <c r="D44" i="15"/>
  <c r="B42" i="15"/>
  <c r="C42" i="15"/>
  <c r="D42" i="15"/>
  <c r="D41" i="15"/>
  <c r="C41" i="15"/>
  <c r="E41" i="15" s="1"/>
  <c r="B41" i="15"/>
  <c r="B38" i="15"/>
  <c r="C38" i="15"/>
  <c r="D38" i="15"/>
  <c r="B31" i="15"/>
  <c r="C31" i="15"/>
  <c r="E31" i="15" s="1"/>
  <c r="D31" i="15"/>
  <c r="B32" i="15"/>
  <c r="C32" i="15"/>
  <c r="E32" i="15" s="1"/>
  <c r="D32" i="15"/>
  <c r="B33" i="15"/>
  <c r="C33" i="15"/>
  <c r="D33" i="15"/>
  <c r="B34" i="15"/>
  <c r="C34" i="15"/>
  <c r="E34" i="15" s="1"/>
  <c r="D34" i="15"/>
  <c r="B35" i="15"/>
  <c r="E35" i="15" s="1"/>
  <c r="C35" i="15"/>
  <c r="D35" i="15"/>
  <c r="B36" i="15"/>
  <c r="C36" i="15"/>
  <c r="D36" i="15"/>
  <c r="B37" i="15"/>
  <c r="C37" i="15"/>
  <c r="D37" i="15"/>
  <c r="D30" i="15"/>
  <c r="C30" i="15"/>
  <c r="B30" i="15"/>
  <c r="B19" i="15"/>
  <c r="C19" i="15"/>
  <c r="D19" i="15"/>
  <c r="B20" i="15"/>
  <c r="C20" i="15"/>
  <c r="E20" i="15" s="1"/>
  <c r="D20" i="15"/>
  <c r="B21" i="15"/>
  <c r="C21" i="15"/>
  <c r="E21" i="15" s="1"/>
  <c r="D21" i="15"/>
  <c r="B22" i="15"/>
  <c r="C22" i="15"/>
  <c r="E22" i="15" s="1"/>
  <c r="D22" i="15"/>
  <c r="B23" i="15"/>
  <c r="E23" i="15" s="1"/>
  <c r="C23" i="15"/>
  <c r="D23" i="15"/>
  <c r="B24" i="15"/>
  <c r="C24" i="15"/>
  <c r="E24" i="15"/>
  <c r="D24" i="15"/>
  <c r="B25" i="15"/>
  <c r="C25" i="15"/>
  <c r="D25" i="15"/>
  <c r="B26" i="15"/>
  <c r="C26" i="15"/>
  <c r="E26" i="15"/>
  <c r="D26" i="15"/>
  <c r="B28" i="15"/>
  <c r="C28" i="15"/>
  <c r="E28" i="15" s="1"/>
  <c r="D28" i="15"/>
  <c r="B5" i="15"/>
  <c r="C5" i="15"/>
  <c r="B6" i="15"/>
  <c r="C6" i="15"/>
  <c r="B7" i="15"/>
  <c r="C7" i="15"/>
  <c r="B8" i="15"/>
  <c r="E8" i="15" s="1"/>
  <c r="C8" i="15"/>
  <c r="B10" i="15"/>
  <c r="C10" i="15"/>
  <c r="B11" i="15"/>
  <c r="C11" i="15"/>
  <c r="B14" i="15"/>
  <c r="C14" i="15"/>
  <c r="B15" i="15"/>
  <c r="E15" i="15" s="1"/>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91" i="15"/>
  <c r="E87" i="15"/>
  <c r="E16" i="15"/>
  <c r="E57" i="15"/>
  <c r="E92" i="15"/>
  <c r="E84" i="15"/>
  <c r="E19" i="15"/>
  <c r="E72" i="15"/>
  <c r="E50" i="15"/>
  <c r="C12"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6" i="18"/>
  <c r="B64" i="18"/>
  <c r="B65" i="18"/>
  <c r="B66" i="18"/>
  <c r="B101" i="4"/>
  <c r="R101" i="4"/>
  <c r="R67" i="4"/>
  <c r="S67" i="4" s="1"/>
  <c r="R66" i="4"/>
  <c r="S66" i="4" s="1"/>
  <c r="E65" i="18" s="1"/>
  <c r="R65" i="4"/>
  <c r="S65" i="4" s="1"/>
  <c r="E64" i="18" s="1"/>
  <c r="B67" i="4"/>
  <c r="B66" i="4"/>
  <c r="B65" i="4"/>
  <c r="B36" i="4"/>
  <c r="R36" i="4"/>
  <c r="S36" i="4" s="1"/>
  <c r="E35" i="18" s="1"/>
  <c r="F35" i="18" s="1"/>
  <c r="R24" i="4"/>
  <c r="B24" i="4"/>
  <c r="G53" i="9"/>
  <c r="G58" i="9" s="1"/>
  <c r="I53" i="9"/>
  <c r="K53" i="9"/>
  <c r="M53" i="9"/>
  <c r="O53" i="9" s="1"/>
  <c r="G54" i="9"/>
  <c r="I54" i="9"/>
  <c r="K54" i="9"/>
  <c r="M54" i="9"/>
  <c r="O54" i="9"/>
  <c r="Q54" i="9"/>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18" s="1"/>
  <c r="C26" i="4"/>
  <c r="C38" i="4"/>
  <c r="B37" i="18" s="1"/>
  <c r="C42" i="4"/>
  <c r="C69" i="4"/>
  <c r="C66" i="25"/>
  <c r="Y20" i="5"/>
  <c r="Y22" i="5" s="1"/>
  <c r="AI20" i="5"/>
  <c r="AI22" i="5" s="1"/>
  <c r="S26" i="4"/>
  <c r="E25" i="18" s="1"/>
  <c r="F25" i="18"/>
  <c r="T20" i="5"/>
  <c r="T22" i="5" s="1"/>
  <c r="T26" i="4"/>
  <c r="H25" i="18" s="1"/>
  <c r="T38" i="4"/>
  <c r="T42" i="4"/>
  <c r="T53" i="4"/>
  <c r="H52" i="18" s="1"/>
  <c r="T11" i="4"/>
  <c r="T62" i="4" s="1"/>
  <c r="T69" i="4"/>
  <c r="H68" i="18" s="1"/>
  <c r="T80" i="4"/>
  <c r="H79" i="18"/>
  <c r="T95" i="4"/>
  <c r="T103" i="4"/>
  <c r="I11" i="18"/>
  <c r="I25" i="18"/>
  <c r="I37" i="18"/>
  <c r="I61" i="18" s="1"/>
  <c r="I95" i="18" s="1"/>
  <c r="I103" i="18" s="1"/>
  <c r="I105" i="18" s="1"/>
  <c r="I41" i="18"/>
  <c r="I52" i="18"/>
  <c r="I68" i="18"/>
  <c r="I79" i="18"/>
  <c r="I94" i="18"/>
  <c r="I102" i="18"/>
  <c r="U66" i="25"/>
  <c r="U67" i="25"/>
  <c r="U68" i="25"/>
  <c r="R83" i="4"/>
  <c r="M29"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62" i="4" s="1"/>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62" i="4" s="1"/>
  <c r="M96" i="4" s="1"/>
  <c r="M11" i="4"/>
  <c r="M26" i="4"/>
  <c r="M38" i="4"/>
  <c r="M42" i="4"/>
  <c r="M53" i="4"/>
  <c r="M61" i="4"/>
  <c r="M69" i="4"/>
  <c r="M76" i="4"/>
  <c r="M80" i="4"/>
  <c r="M95" i="4"/>
  <c r="N8" i="4"/>
  <c r="N12" i="4" s="1"/>
  <c r="N11" i="4"/>
  <c r="N26" i="4"/>
  <c r="N42" i="4"/>
  <c r="N53" i="4"/>
  <c r="N61" i="4"/>
  <c r="N69" i="4"/>
  <c r="N76" i="4"/>
  <c r="N80" i="4"/>
  <c r="N95" i="4"/>
  <c r="O8" i="4"/>
  <c r="O12" i="4" s="1"/>
  <c r="O11" i="4"/>
  <c r="O26" i="4"/>
  <c r="O38" i="4"/>
  <c r="O42" i="4"/>
  <c r="O53" i="4"/>
  <c r="O61" i="4"/>
  <c r="O69" i="4"/>
  <c r="O76" i="4"/>
  <c r="O80" i="4"/>
  <c r="O95" i="4"/>
  <c r="P8" i="4"/>
  <c r="P62" i="4" s="1"/>
  <c r="P96" i="4" s="1"/>
  <c r="P104" i="4" s="1"/>
  <c r="P11"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G76" i="4"/>
  <c r="F76" i="4"/>
  <c r="H78" i="18"/>
  <c r="B78" i="4"/>
  <c r="R78" i="4"/>
  <c r="S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C5" i="18" s="1"/>
  <c r="B6" i="18"/>
  <c r="C6" i="18" s="1"/>
  <c r="B7" i="18"/>
  <c r="C7" i="18" s="1"/>
  <c r="B9" i="18"/>
  <c r="B10" i="18"/>
  <c r="C10" i="18" s="1"/>
  <c r="C11"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2" i="18"/>
  <c r="F92" i="18" s="1"/>
  <c r="E91" i="18"/>
  <c r="F91" i="18" s="1"/>
  <c r="E89" i="18"/>
  <c r="F89" i="18" s="1"/>
  <c r="E88" i="18"/>
  <c r="F88" i="18" s="1"/>
  <c r="E85" i="18"/>
  <c r="F85" i="18" s="1"/>
  <c r="E83" i="18"/>
  <c r="F83" i="18" s="1"/>
  <c r="E82" i="18"/>
  <c r="F82" i="18" s="1"/>
  <c r="E77" i="18"/>
  <c r="F77" i="18" s="1"/>
  <c r="E28" i="18"/>
  <c r="F28" i="18" s="1"/>
  <c r="E26" i="18"/>
  <c r="E24" i="18"/>
  <c r="E23" i="18"/>
  <c r="E22" i="18"/>
  <c r="E21" i="18"/>
  <c r="E20" i="18"/>
  <c r="E19" i="18"/>
  <c r="E18" i="18"/>
  <c r="E17" i="18"/>
  <c r="E14" i="18"/>
  <c r="E15" i="18"/>
  <c r="E10" i="18"/>
  <c r="F10" i="18" s="1"/>
  <c r="B101" i="18"/>
  <c r="B100" i="18"/>
  <c r="B99" i="18"/>
  <c r="B98" i="18"/>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7" i="18"/>
  <c r="C77" i="18" s="1"/>
  <c r="B74" i="18"/>
  <c r="B72" i="18"/>
  <c r="B71" i="18"/>
  <c r="B70" i="18"/>
  <c r="B67" i="18"/>
  <c r="C67" i="18" s="1"/>
  <c r="B63" i="18"/>
  <c r="C63"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2" i="18"/>
  <c r="C42" i="18" s="1"/>
  <c r="B40" i="18"/>
  <c r="C40" i="18" s="1"/>
  <c r="B39" i="18"/>
  <c r="C39"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D68" i="18"/>
  <c r="D60" i="18"/>
  <c r="D52" i="18"/>
  <c r="D41" i="18"/>
  <c r="D37" i="18"/>
  <c r="D25" i="18"/>
  <c r="C25" i="18"/>
  <c r="D11" i="18"/>
  <c r="D8" i="18"/>
  <c r="D61" i="18" s="1"/>
  <c r="D95" i="18" s="1"/>
  <c r="D103" i="18" s="1"/>
  <c r="AG514" i="6"/>
  <c r="AO648" i="6"/>
  <c r="AO647" i="6"/>
  <c r="AO646" i="6"/>
  <c r="AO645" i="6"/>
  <c r="AJ268" i="6"/>
  <c r="AJ253" i="6"/>
  <c r="AJ241" i="6"/>
  <c r="AJ227" i="6"/>
  <c r="AJ215" i="6"/>
  <c r="AJ203" i="6"/>
  <c r="AJ184" i="6"/>
  <c r="AJ139" i="6"/>
  <c r="AK68" i="6"/>
  <c r="AG521" i="6"/>
  <c r="AG517" i="6"/>
  <c r="AG510" i="6"/>
  <c r="AG505" i="6"/>
  <c r="AG482" i="6"/>
  <c r="R94" i="4"/>
  <c r="R84" i="4"/>
  <c r="R85" i="4"/>
  <c r="S85" i="4" s="1"/>
  <c r="R86" i="4"/>
  <c r="R87" i="4"/>
  <c r="R88" i="4"/>
  <c r="S88" i="4" s="1"/>
  <c r="E87" i="18" s="1"/>
  <c r="F87" i="18" s="1"/>
  <c r="R89" i="4"/>
  <c r="R90" i="4"/>
  <c r="R91" i="4"/>
  <c r="S91" i="4" s="1"/>
  <c r="E90" i="18" s="1"/>
  <c r="F90" i="18" s="1"/>
  <c r="R92" i="4"/>
  <c r="R93" i="4"/>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3" i="4"/>
  <c r="S43" i="4" s="1"/>
  <c r="E42" i="18" s="1"/>
  <c r="F42" i="18" s="1"/>
  <c r="R41" i="4"/>
  <c r="S41" i="4" s="1"/>
  <c r="E40" i="18" s="1"/>
  <c r="F40" i="18" s="1"/>
  <c r="R40" i="4"/>
  <c r="S40" i="4" s="1"/>
  <c r="R37" i="4"/>
  <c r="S37" i="4" s="1"/>
  <c r="E36" i="18" s="1"/>
  <c r="F36" i="18" s="1"/>
  <c r="R35" i="4"/>
  <c r="S35" i="4" s="1"/>
  <c r="E34" i="18" s="1"/>
  <c r="F34" i="18" s="1"/>
  <c r="R34" i="4"/>
  <c r="S34" i="4" s="1"/>
  <c r="E33" i="18" s="1"/>
  <c r="R33" i="4"/>
  <c r="S33" i="4" s="1"/>
  <c r="E32" i="18" s="1"/>
  <c r="F32" i="18" s="1"/>
  <c r="R32" i="4"/>
  <c r="S32" i="4" s="1"/>
  <c r="E31" i="18" s="1"/>
  <c r="F31" i="18" s="1"/>
  <c r="R31" i="4"/>
  <c r="S31" i="4" s="1"/>
  <c r="E30" i="18" s="1"/>
  <c r="F30" i="18" s="1"/>
  <c r="R29" i="4"/>
  <c r="R27" i="4"/>
  <c r="R25" i="4"/>
  <c r="R23" i="4"/>
  <c r="R22" i="4"/>
  <c r="R21" i="4"/>
  <c r="R20" i="4"/>
  <c r="R19" i="4"/>
  <c r="R26" i="4" s="1"/>
  <c r="R18" i="4"/>
  <c r="R17" i="4"/>
  <c r="R15" i="4"/>
  <c r="R14" i="4"/>
  <c r="R13" i="4"/>
  <c r="S13" i="4" s="1"/>
  <c r="E13" i="18" s="1"/>
  <c r="F13" i="18" s="1"/>
  <c r="R7" i="4"/>
  <c r="R6" i="4"/>
  <c r="D5" i="15"/>
  <c r="D6" i="15"/>
  <c r="D7" i="15"/>
  <c r="D8" i="15"/>
  <c r="D10" i="15"/>
  <c r="D11" i="15"/>
  <c r="D12" i="15" s="1"/>
  <c r="D14" i="15"/>
  <c r="D15" i="15"/>
  <c r="D16" i="15"/>
  <c r="D18" i="15"/>
  <c r="H37"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B9" i="4"/>
  <c r="B10" i="4"/>
  <c r="F11" i="4"/>
  <c r="G11" i="4"/>
  <c r="I12" i="4"/>
  <c r="B13" i="4"/>
  <c r="B14" i="4"/>
  <c r="B17" i="4"/>
  <c r="B18" i="4"/>
  <c r="B19" i="4"/>
  <c r="B20" i="4"/>
  <c r="B21" i="4"/>
  <c r="B22" i="4"/>
  <c r="B23" i="4"/>
  <c r="B25" i="4"/>
  <c r="E26" i="4"/>
  <c r="F26" i="4"/>
  <c r="G26" i="4"/>
  <c r="H26"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B68" i="4"/>
  <c r="R68" i="4"/>
  <c r="S68" i="4" s="1"/>
  <c r="E67" i="18" s="1"/>
  <c r="F67" i="18" s="1"/>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G600" i="3"/>
  <c r="Z600" i="3"/>
  <c r="BK603" i="3"/>
  <c r="BK604" i="3"/>
  <c r="BK605" i="3"/>
  <c r="BK606" i="3"/>
  <c r="BK612" i="3"/>
  <c r="BK613" i="3"/>
  <c r="G634" i="3"/>
  <c r="Z634" i="3"/>
  <c r="G642" i="3"/>
  <c r="Z642" i="3"/>
  <c r="G650" i="3"/>
  <c r="Z650" i="3"/>
  <c r="G658" i="3"/>
  <c r="Z658" i="3"/>
  <c r="G666" i="3"/>
  <c r="Z666" i="3"/>
  <c r="G674" i="3"/>
  <c r="Z674" i="3"/>
  <c r="M796" i="3"/>
  <c r="Q796" i="3"/>
  <c r="U796" i="3"/>
  <c r="Y796" i="3"/>
  <c r="AC796" i="3"/>
  <c r="Z865" i="3"/>
  <c r="Q12" i="4"/>
  <c r="H41" i="18"/>
  <c r="D12" i="4"/>
  <c r="B43" i="15"/>
  <c r="C43" i="15"/>
  <c r="E43" i="15" s="1"/>
  <c r="D43" i="15"/>
  <c r="G12" i="4"/>
  <c r="B27" i="15"/>
  <c r="D27" i="15"/>
  <c r="C27" i="15"/>
  <c r="B68" i="18"/>
  <c r="B70" i="15"/>
  <c r="C70" i="15"/>
  <c r="E70" i="15" s="1"/>
  <c r="D70" i="15"/>
  <c r="G52" i="25"/>
  <c r="AM695" i="3"/>
  <c r="AM704" i="3"/>
  <c r="AM703" i="3"/>
  <c r="AM702" i="3"/>
  <c r="AM701" i="3"/>
  <c r="AM696" i="3"/>
  <c r="AM700" i="3"/>
  <c r="AM699" i="3"/>
  <c r="AM698" i="3"/>
  <c r="AM697" i="3"/>
  <c r="AB47" i="26"/>
  <c r="R11" i="4"/>
  <c r="O62" i="4"/>
  <c r="O96" i="4" s="1"/>
  <c r="O104" i="4" s="1"/>
  <c r="H12" i="4"/>
  <c r="H11" i="18"/>
  <c r="Q62" i="4"/>
  <c r="Q96" i="4" s="1"/>
  <c r="Q104" i="4" s="1"/>
  <c r="R42" i="4"/>
  <c r="D12" i="18"/>
  <c r="B69" i="4"/>
  <c r="S28" i="9"/>
  <c r="AC28" i="9"/>
  <c r="G19" i="9"/>
  <c r="I19" i="9" s="1"/>
  <c r="K19" i="9" s="1"/>
  <c r="M19" i="9" s="1"/>
  <c r="O19" i="9" s="1"/>
  <c r="Q19" i="9" s="1"/>
  <c r="S19" i="9" s="1"/>
  <c r="U19" i="9" s="1"/>
  <c r="W19" i="9" s="1"/>
  <c r="Y19" i="9" s="1"/>
  <c r="AA19" i="9" s="1"/>
  <c r="AC19" i="9" s="1"/>
  <c r="AE19" i="9" s="1"/>
  <c r="AG19" i="9" s="1"/>
  <c r="AD67" i="5"/>
  <c r="T24" i="27"/>
  <c r="T24" i="26"/>
  <c r="G62" i="4" l="1"/>
  <c r="G96" i="4" s="1"/>
  <c r="G104" i="4" s="1"/>
  <c r="L62" i="4"/>
  <c r="L96" i="4" s="1"/>
  <c r="L104" i="4" s="1"/>
  <c r="E6" i="15"/>
  <c r="B42" i="4"/>
  <c r="C41" i="18"/>
  <c r="J96" i="4"/>
  <c r="J104" i="4" s="1"/>
  <c r="E12" i="4"/>
  <c r="B26" i="4"/>
  <c r="T697" i="6"/>
  <c r="AF697" i="6" s="1"/>
  <c r="I58" i="9"/>
  <c r="T96" i="4"/>
  <c r="H61" i="18"/>
  <c r="O58" i="9"/>
  <c r="Q53" i="9"/>
  <c r="K58" i="9"/>
  <c r="J12" i="4"/>
  <c r="E7" i="15"/>
  <c r="M58" i="9"/>
  <c r="E11" i="15"/>
  <c r="E89" i="15"/>
  <c r="M12" i="4"/>
  <c r="E14" i="15"/>
  <c r="Q580" i="6"/>
  <c r="W580" i="6" s="1"/>
  <c r="C9" i="15"/>
  <c r="C13" i="15" s="1"/>
  <c r="E36" i="15"/>
  <c r="E42" i="15"/>
  <c r="E52" i="15"/>
  <c r="E61" i="15"/>
  <c r="BN620" i="3"/>
  <c r="C12" i="4"/>
  <c r="B12" i="18" s="1"/>
  <c r="B8" i="18"/>
  <c r="AI20" i="26"/>
  <c r="P12" i="4"/>
  <c r="K62" i="4"/>
  <c r="K96" i="4" s="1"/>
  <c r="K104" i="4" s="1"/>
  <c r="AP378" i="6"/>
  <c r="AQ378" i="6" s="1"/>
  <c r="E38" i="15"/>
  <c r="E88" i="15"/>
  <c r="E103" i="15"/>
  <c r="E69" i="15"/>
  <c r="H62" i="4"/>
  <c r="H96" i="4" s="1"/>
  <c r="H104" i="4" s="1"/>
  <c r="AO651" i="6"/>
  <c r="D9" i="15"/>
  <c r="D13" i="15" s="1"/>
  <c r="C8" i="18"/>
  <c r="C12" i="18" s="1"/>
  <c r="C68" i="18"/>
  <c r="E44" i="15"/>
  <c r="E93" i="15"/>
  <c r="E85" i="15"/>
  <c r="B38" i="4"/>
  <c r="I4" i="10"/>
  <c r="B39" i="15"/>
  <c r="S95" i="4"/>
  <c r="E94" i="18" s="1"/>
  <c r="C37" i="18"/>
  <c r="D39" i="15"/>
  <c r="C39" i="15"/>
  <c r="S69" i="4"/>
  <c r="E68" i="18" s="1"/>
  <c r="S42" i="4"/>
  <c r="E41" i="18" s="1"/>
  <c r="E86" i="15"/>
  <c r="E5" i="15"/>
  <c r="E30" i="15"/>
  <c r="E33" i="15"/>
  <c r="E65" i="15"/>
  <c r="E84" i="18"/>
  <c r="F84" i="18" s="1"/>
  <c r="F94" i="18" s="1"/>
  <c r="B11" i="4"/>
  <c r="B12" i="4" s="1"/>
  <c r="R69" i="4"/>
  <c r="D62" i="4"/>
  <c r="D96" i="4" s="1"/>
  <c r="D104" i="4" s="1"/>
  <c r="E39" i="18"/>
  <c r="F39" i="18" s="1"/>
  <c r="F41" i="18" s="1"/>
  <c r="E63" i="18"/>
  <c r="F63" i="18" s="1"/>
  <c r="F68" i="18" s="1"/>
  <c r="K12" i="4"/>
  <c r="B9" i="15"/>
  <c r="E9" i="15" s="1"/>
  <c r="R8" i="4"/>
  <c r="R12" i="4" s="1"/>
  <c r="B12" i="15"/>
  <c r="E12" i="15" s="1"/>
  <c r="CM620" i="3"/>
  <c r="T7" i="5"/>
  <c r="R935" i="3"/>
  <c r="U69" i="25"/>
  <c r="AI22" i="26"/>
  <c r="AC847" i="3"/>
  <c r="E30" i="9" s="1"/>
  <c r="G30" i="9" s="1"/>
  <c r="I30" i="9" s="1"/>
  <c r="K30" i="9" s="1"/>
  <c r="M30" i="9" s="1"/>
  <c r="O30" i="9" s="1"/>
  <c r="Q30" i="9" s="1"/>
  <c r="S30" i="9" s="1"/>
  <c r="U30" i="9" s="1"/>
  <c r="W30" i="9" s="1"/>
  <c r="Y30" i="9" s="1"/>
  <c r="AA30" i="9" s="1"/>
  <c r="AC30" i="9" s="1"/>
  <c r="AE30" i="9" s="1"/>
  <c r="AG30" i="9" s="1"/>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O606" i="6"/>
  <c r="AU570"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O28" i="9"/>
  <c r="G28" i="9"/>
  <c r="M28" i="9"/>
  <c r="K28" i="9"/>
  <c r="AE28" i="9"/>
  <c r="AG28" i="9"/>
  <c r="AA28" i="9"/>
  <c r="G26" i="9"/>
  <c r="I26" i="9" s="1"/>
  <c r="K26" i="9" s="1"/>
  <c r="M26" i="9" s="1"/>
  <c r="O26" i="9" s="1"/>
  <c r="Q26" i="9" s="1"/>
  <c r="S26" i="9" s="1"/>
  <c r="U26" i="9" s="1"/>
  <c r="W26" i="9" s="1"/>
  <c r="Y26" i="9" s="1"/>
  <c r="AA26" i="9" s="1"/>
  <c r="AC26" i="9" s="1"/>
  <c r="AE26" i="9" s="1"/>
  <c r="AG26" i="9" s="1"/>
  <c r="AI23" i="5"/>
  <c r="AI26" i="5" s="1"/>
  <c r="AC580" i="6"/>
  <c r="AG29" i="9"/>
  <c r="AC581" i="6"/>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30" i="10"/>
  <c r="Z773" i="3" s="1"/>
  <c r="I16" i="9"/>
  <c r="T695" i="6"/>
  <c r="Y7" i="5"/>
  <c r="G8" i="9"/>
  <c r="E9" i="9"/>
  <c r="L29" i="28" l="1"/>
  <c r="V29" i="28" s="1"/>
  <c r="AS354" i="6"/>
  <c r="CB614" i="3"/>
  <c r="BN638" i="3"/>
  <c r="AB933" i="3" s="1"/>
  <c r="AJ933" i="3" s="1"/>
  <c r="Q58" i="9"/>
  <c r="S53" i="9"/>
  <c r="E39" i="15"/>
  <c r="AS352" i="6"/>
  <c r="CM638" i="3"/>
  <c r="H95" i="18"/>
  <c r="T104" i="4"/>
  <c r="L28" i="28"/>
  <c r="V28" i="28" s="1"/>
  <c r="O605" i="6"/>
  <c r="AU569" i="6" s="1"/>
  <c r="CH638" i="3"/>
  <c r="AB937" i="3" s="1"/>
  <c r="AJ937" i="3" s="1"/>
  <c r="L30" i="28"/>
  <c r="V30" i="28" s="1"/>
  <c r="Y765" i="3"/>
  <c r="E4" i="9" s="1"/>
  <c r="E5" i="9" s="1"/>
  <c r="CS620" i="3"/>
  <c r="B13" i="15"/>
  <c r="E13" i="15" s="1"/>
  <c r="Y764" i="3"/>
  <c r="AC849" i="3"/>
  <c r="CQ634" i="3"/>
  <c r="AD27" i="26"/>
  <c r="BX638" i="3"/>
  <c r="AB935" i="3" s="1"/>
  <c r="AJ935" i="3" s="1"/>
  <c r="CC638" i="3"/>
  <c r="AB936" i="3" s="1"/>
  <c r="AJ936" i="3" s="1"/>
  <c r="O604" i="6"/>
  <c r="AU568" i="6" s="1"/>
  <c r="BI698" i="3"/>
  <c r="BI694" i="3"/>
  <c r="BI677" i="3"/>
  <c r="AD27" i="27"/>
  <c r="AF706" i="6"/>
  <c r="E22" i="9"/>
  <c r="G22" i="9"/>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E6" i="9"/>
  <c r="Z782" i="3"/>
  <c r="S15" i="9"/>
  <c r="M32" i="9"/>
  <c r="I8" i="9"/>
  <c r="G9" i="9"/>
  <c r="G4" i="9" l="1"/>
  <c r="I4" i="9" s="1"/>
  <c r="I5" i="9" s="1"/>
  <c r="AK471" i="6"/>
  <c r="T700" i="6" s="1"/>
  <c r="AO691" i="6" s="1"/>
  <c r="H103" i="18"/>
  <c r="T106" i="4"/>
  <c r="H105" i="18" s="1"/>
  <c r="S58" i="9"/>
  <c r="U53" i="9"/>
  <c r="BI701" i="3"/>
  <c r="AH717" i="3" s="1"/>
  <c r="BI732" i="3"/>
  <c r="AM717" i="3" s="1"/>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G6" i="9"/>
  <c r="M16" i="9"/>
  <c r="K22" i="9"/>
  <c r="U15" i="9"/>
  <c r="O32" i="9"/>
  <c r="I9" i="9"/>
  <c r="K8" i="9"/>
  <c r="W53" i="9" l="1"/>
  <c r="U58" i="9"/>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J963" i="3"/>
  <c r="AJ941" i="3"/>
  <c r="AJ972" i="3"/>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O5" i="9"/>
  <c r="Q4" i="9"/>
  <c r="I6" i="9"/>
  <c r="G7" i="9"/>
  <c r="G11" i="9" s="1"/>
  <c r="BI547" i="6"/>
  <c r="BM544" i="6"/>
  <c r="W15" i="9"/>
  <c r="Q32" i="9"/>
  <c r="M8" i="9"/>
  <c r="K9" i="9"/>
  <c r="AJ988" i="3" l="1"/>
  <c r="T24" i="5" s="1"/>
  <c r="W58" i="9"/>
  <c r="Y53" i="9"/>
  <c r="T702" i="6"/>
  <c r="AO694" i="6"/>
  <c r="AF702" i="6" s="1"/>
  <c r="AF708" i="6" s="1"/>
  <c r="CC531" i="6"/>
  <c r="CC534" i="6" s="1"/>
  <c r="BY534" i="6"/>
  <c r="BU534" i="6"/>
  <c r="BJ587" i="6"/>
  <c r="AV551" i="6" s="1"/>
  <c r="BY571" i="6"/>
  <c r="K6" i="9"/>
  <c r="I7" i="9"/>
  <c r="I11" i="9" s="1"/>
  <c r="Q16" i="9"/>
  <c r="O22" i="9"/>
  <c r="Q5" i="9"/>
  <c r="S4" i="9"/>
  <c r="Y15" i="9"/>
  <c r="BM547" i="6"/>
  <c r="BQ545" i="6"/>
  <c r="S32" i="9"/>
  <c r="M9" i="9"/>
  <c r="O8" i="9"/>
  <c r="Y58" i="9" l="1"/>
  <c r="AA53" i="9"/>
  <c r="CG534" i="6"/>
  <c r="CD572" i="6"/>
  <c r="BY574" i="6"/>
  <c r="BQ547" i="6"/>
  <c r="BU546" i="6"/>
  <c r="BU547" i="6" s="1"/>
  <c r="S16" i="9"/>
  <c r="Q22" i="9"/>
  <c r="AA15" i="9"/>
  <c r="U4" i="9"/>
  <c r="S5" i="9"/>
  <c r="K7" i="9"/>
  <c r="K11" i="9" s="1"/>
  <c r="M6" i="9"/>
  <c r="U32" i="9"/>
  <c r="Q8" i="9"/>
  <c r="O9" i="9"/>
  <c r="AA58" i="9" l="1"/>
  <c r="AC53" i="9"/>
  <c r="CD574" i="6"/>
  <c r="CI573" i="6"/>
  <c r="CI574" i="6" s="1"/>
  <c r="CC547" i="6"/>
  <c r="U16" i="9"/>
  <c r="S22" i="9"/>
  <c r="W4" i="9"/>
  <c r="U5" i="9"/>
  <c r="AC15" i="9"/>
  <c r="O6" i="9"/>
  <c r="M7" i="9"/>
  <c r="M11" i="9" s="1"/>
  <c r="W32" i="9"/>
  <c r="S8" i="9"/>
  <c r="Q9" i="9"/>
  <c r="AE53" i="9" l="1"/>
  <c r="AC58" i="9"/>
  <c r="CN574" i="6"/>
  <c r="BD555" i="6" s="1"/>
  <c r="AT557" i="6" s="1"/>
  <c r="Q6" i="9"/>
  <c r="O7" i="9"/>
  <c r="O11" i="9" s="1"/>
  <c r="Y4" i="9"/>
  <c r="W5" i="9"/>
  <c r="AE15" i="9"/>
  <c r="W16" i="9"/>
  <c r="U22" i="9"/>
  <c r="Y32" i="9"/>
  <c r="U8" i="9"/>
  <c r="S9" i="9"/>
  <c r="AG53" i="9" l="1"/>
  <c r="AG58" i="9" s="1"/>
  <c r="AE58" i="9"/>
  <c r="AW559" i="6"/>
  <c r="AA4" i="9"/>
  <c r="Y5" i="9"/>
  <c r="AG15" i="9"/>
  <c r="Y16" i="9"/>
  <c r="W22" i="9"/>
  <c r="S6" i="9"/>
  <c r="Q7" i="9"/>
  <c r="Q11" i="9" s="1"/>
  <c r="AA32" i="9"/>
  <c r="W8" i="9"/>
  <c r="U9" i="9"/>
  <c r="AC4" i="9" l="1"/>
  <c r="AA5" i="9"/>
  <c r="U6" i="9"/>
  <c r="S7" i="9"/>
  <c r="S11" i="9" s="1"/>
  <c r="AA16" i="9"/>
  <c r="Y22" i="9"/>
  <c r="AC32" i="9"/>
  <c r="W9" i="9"/>
  <c r="Y8" i="9"/>
  <c r="W6" i="9" l="1"/>
  <c r="U7" i="9"/>
  <c r="U11" i="9" s="1"/>
  <c r="AC16" i="9"/>
  <c r="AA22" i="9"/>
  <c r="AC5" i="9"/>
  <c r="AE4" i="9"/>
  <c r="AE32" i="9"/>
  <c r="Y9" i="9"/>
  <c r="AA8" i="9"/>
  <c r="AE5" i="9" l="1"/>
  <c r="AG4" i="9"/>
  <c r="W7" i="9"/>
  <c r="W11" i="9" s="1"/>
  <c r="Y6" i="9"/>
  <c r="AE16" i="9"/>
  <c r="AC22" i="9"/>
  <c r="AG32" i="9"/>
  <c r="AA9" i="9"/>
  <c r="AC8" i="9"/>
  <c r="AG5" i="9" l="1"/>
  <c r="AG16" i="9"/>
  <c r="AG22" i="9" s="1"/>
  <c r="AE22" i="9"/>
  <c r="Y7" i="9"/>
  <c r="Y11" i="9" s="1"/>
  <c r="AA6" i="9"/>
  <c r="AC9" i="9"/>
  <c r="AE8" i="9"/>
  <c r="AA7" i="9" l="1"/>
  <c r="AA11" i="9" s="1"/>
  <c r="AC6" i="9"/>
  <c r="AG8" i="9"/>
  <c r="AE9" i="9"/>
  <c r="AE6" i="9" l="1"/>
  <c r="AC7" i="9"/>
  <c r="AC11" i="9" s="1"/>
  <c r="AG9" i="9"/>
  <c r="AG6" i="9" l="1"/>
  <c r="AE7" i="9"/>
  <c r="AE11" i="9"/>
  <c r="AG7" i="9" l="1"/>
  <c r="AG11" i="9" s="1"/>
  <c r="Y11" i="5" l="1"/>
  <c r="Y23" i="5" s="1"/>
  <c r="Y26" i="5" s="1"/>
  <c r="Y28" i="5" s="1"/>
  <c r="AM546" i="3" l="1"/>
  <c r="AM553" i="3"/>
  <c r="AM554" i="3"/>
  <c r="AF618" i="3"/>
  <c r="E40" i="9" s="1"/>
  <c r="AO618" i="3"/>
  <c r="F107" i="4" s="1"/>
  <c r="M107" i="4"/>
  <c r="AO626" i="3"/>
  <c r="N107" i="4" s="1"/>
  <c r="AO630" i="3"/>
  <c r="AO632" i="3" s="1"/>
  <c r="AM555" i="3" s="1"/>
  <c r="AC850" i="3"/>
  <c r="E27" i="9"/>
  <c r="AB49" i="5"/>
  <c r="D75" i="15"/>
  <c r="F30" i="4"/>
  <c r="E30" i="4" s="1"/>
  <c r="R30" i="4" s="1"/>
  <c r="S30" i="4" s="1"/>
  <c r="N30" i="4"/>
  <c r="N38" i="4" s="1"/>
  <c r="N62" i="4" s="1"/>
  <c r="N96" i="4" s="1"/>
  <c r="N104" i="4" s="1"/>
  <c r="C45" i="4"/>
  <c r="D46" i="15" s="1"/>
  <c r="S45" i="4"/>
  <c r="E44" i="18" s="1"/>
  <c r="F44" i="18" s="1"/>
  <c r="C46" i="4"/>
  <c r="B47" i="15" s="1"/>
  <c r="C55" i="4"/>
  <c r="B56" i="15" s="1"/>
  <c r="E55" i="4"/>
  <c r="R55" i="4" s="1"/>
  <c r="R61" i="4" s="1"/>
  <c r="C61" i="4"/>
  <c r="B61" i="4" s="1"/>
  <c r="C74" i="4"/>
  <c r="B73" i="18" s="1"/>
  <c r="C73" i="18" s="1"/>
  <c r="C75" i="18" s="1"/>
  <c r="C76" i="4"/>
  <c r="B76" i="4" s="1"/>
  <c r="C79" i="4"/>
  <c r="B79" i="4" s="1"/>
  <c r="E79" i="4"/>
  <c r="E80" i="4" s="1"/>
  <c r="C82" i="4"/>
  <c r="D83" i="15" s="1"/>
  <c r="C98" i="4"/>
  <c r="B99" i="15" s="1"/>
  <c r="M103" i="4"/>
  <c r="M104" i="4" s="1"/>
  <c r="E107" i="4"/>
  <c r="D62" i="15" l="1"/>
  <c r="R79" i="4"/>
  <c r="S79" i="4" s="1"/>
  <c r="F38" i="4"/>
  <c r="F62" i="4" s="1"/>
  <c r="F96" i="4" s="1"/>
  <c r="F104" i="4" s="1"/>
  <c r="AM558" i="3"/>
  <c r="E38" i="4"/>
  <c r="B55" i="4"/>
  <c r="E98" i="4"/>
  <c r="R98" i="4" s="1"/>
  <c r="S98" i="4" s="1"/>
  <c r="AB47" i="5"/>
  <c r="E74" i="4"/>
  <c r="C80" i="4"/>
  <c r="D80" i="15"/>
  <c r="E78" i="18"/>
  <c r="F78" i="18" s="1"/>
  <c r="F79" i="18" s="1"/>
  <c r="S80" i="4"/>
  <c r="E79" i="18" s="1"/>
  <c r="E29" i="18"/>
  <c r="F29" i="18" s="1"/>
  <c r="F37" i="18" s="1"/>
  <c r="S38" i="4"/>
  <c r="G40" i="9"/>
  <c r="G43" i="9" s="1"/>
  <c r="W40" i="9"/>
  <c r="W43" i="9" s="1"/>
  <c r="I40" i="9"/>
  <c r="I43" i="9" s="1"/>
  <c r="Y40" i="9"/>
  <c r="Y43" i="9" s="1"/>
  <c r="K40" i="9"/>
  <c r="K43" i="9" s="1"/>
  <c r="AA40" i="9"/>
  <c r="AA43" i="9" s="1"/>
  <c r="M40" i="9"/>
  <c r="M43" i="9" s="1"/>
  <c r="AC40" i="9"/>
  <c r="AC43" i="9" s="1"/>
  <c r="O40" i="9"/>
  <c r="O43" i="9" s="1"/>
  <c r="AE40" i="9"/>
  <c r="AE43" i="9" s="1"/>
  <c r="Q40" i="9"/>
  <c r="Q43" i="9" s="1"/>
  <c r="AG40" i="9"/>
  <c r="AG43" i="9" s="1"/>
  <c r="S40" i="9"/>
  <c r="S43" i="9" s="1"/>
  <c r="E43" i="9"/>
  <c r="U40" i="9"/>
  <c r="U43" i="9" s="1"/>
  <c r="E35" i="9"/>
  <c r="E37" i="9" s="1"/>
  <c r="G27" i="9"/>
  <c r="B82" i="4"/>
  <c r="B45" i="4"/>
  <c r="B97" i="18"/>
  <c r="C97" i="18" s="1"/>
  <c r="C102" i="18" s="1"/>
  <c r="B81" i="18"/>
  <c r="C81" i="18" s="1"/>
  <c r="C94" i="18" s="1"/>
  <c r="B78" i="18"/>
  <c r="C78" i="18" s="1"/>
  <c r="C79" i="18" s="1"/>
  <c r="B44" i="18"/>
  <c r="C44" i="18" s="1"/>
  <c r="C83" i="15"/>
  <c r="C80" i="15"/>
  <c r="C75" i="15"/>
  <c r="C62" i="15"/>
  <c r="C46" i="15"/>
  <c r="B98" i="4"/>
  <c r="E46" i="4"/>
  <c r="R46" i="4" s="1"/>
  <c r="S46" i="4" s="1"/>
  <c r="B83" i="15"/>
  <c r="B80" i="15"/>
  <c r="B75" i="15"/>
  <c r="B62" i="15"/>
  <c r="B46" i="15"/>
  <c r="C103" i="4"/>
  <c r="R80" i="4"/>
  <c r="B74" i="4"/>
  <c r="R38" i="4"/>
  <c r="B75" i="18"/>
  <c r="B60" i="18"/>
  <c r="C95" i="4"/>
  <c r="E61" i="4"/>
  <c r="B46" i="4"/>
  <c r="D99" i="15"/>
  <c r="D81" i="15"/>
  <c r="D77" i="15"/>
  <c r="D56" i="15"/>
  <c r="D47" i="15"/>
  <c r="B79" i="18"/>
  <c r="B54" i="18"/>
  <c r="C54" i="18" s="1"/>
  <c r="C60" i="18" s="1"/>
  <c r="B45" i="18"/>
  <c r="C45" i="18" s="1"/>
  <c r="C99" i="15"/>
  <c r="E99" i="15" s="1"/>
  <c r="C81" i="15"/>
  <c r="C77" i="15"/>
  <c r="C56" i="15"/>
  <c r="E56" i="15" s="1"/>
  <c r="C47" i="15"/>
  <c r="E47" i="15" s="1"/>
  <c r="C53" i="4"/>
  <c r="B77" i="15"/>
  <c r="E82" i="4"/>
  <c r="E45" i="4"/>
  <c r="R103" i="4" l="1"/>
  <c r="E103" i="4"/>
  <c r="E46" i="15"/>
  <c r="B81" i="15"/>
  <c r="E81" i="15" s="1"/>
  <c r="B80" i="4"/>
  <c r="E76" i="4"/>
  <c r="R74" i="4"/>
  <c r="R76" i="4" s="1"/>
  <c r="C52" i="18"/>
  <c r="C61" i="18" s="1"/>
  <c r="C95" i="18" s="1"/>
  <c r="C103" i="18" s="1"/>
  <c r="E77" i="15"/>
  <c r="E80" i="15"/>
  <c r="E83" i="15"/>
  <c r="G35" i="9"/>
  <c r="G37" i="9" s="1"/>
  <c r="I27" i="9"/>
  <c r="E49" i="9"/>
  <c r="E45" i="9"/>
  <c r="E97" i="18"/>
  <c r="F97" i="18" s="1"/>
  <c r="F102" i="18" s="1"/>
  <c r="S103" i="4"/>
  <c r="E102" i="18" s="1"/>
  <c r="E37" i="18"/>
  <c r="E75" i="15"/>
  <c r="E45" i="18"/>
  <c r="F45" i="18" s="1"/>
  <c r="F52" i="18" s="1"/>
  <c r="S53" i="4"/>
  <c r="E52" i="18" s="1"/>
  <c r="R82" i="4"/>
  <c r="R95" i="4" s="1"/>
  <c r="E95" i="4"/>
  <c r="F61" i="18"/>
  <c r="F95" i="18" s="1"/>
  <c r="R45" i="4"/>
  <c r="R53" i="4" s="1"/>
  <c r="R62" i="4" s="1"/>
  <c r="E53" i="4"/>
  <c r="E62" i="4" s="1"/>
  <c r="D104" i="15"/>
  <c r="B102" i="18"/>
  <c r="B103" i="4"/>
  <c r="B104" i="15"/>
  <c r="C104" i="15"/>
  <c r="E104" i="15" s="1"/>
  <c r="D54" i="15"/>
  <c r="B53" i="4"/>
  <c r="B54" i="15"/>
  <c r="C54" i="15"/>
  <c r="B52" i="18"/>
  <c r="C62" i="4"/>
  <c r="B94" i="18"/>
  <c r="B96" i="15"/>
  <c r="C96" i="15"/>
  <c r="B95" i="4"/>
  <c r="D96" i="15"/>
  <c r="E62" i="15"/>
  <c r="R96" i="4" l="1"/>
  <c r="R104" i="4"/>
  <c r="F103" i="18"/>
  <c r="F105" i="18" s="1"/>
  <c r="T11" i="5" s="1"/>
  <c r="E54" i="15"/>
  <c r="I35" i="9"/>
  <c r="I37" i="9" s="1"/>
  <c r="K27" i="9"/>
  <c r="B63" i="15"/>
  <c r="C96" i="4"/>
  <c r="C63" i="15"/>
  <c r="D63" i="15"/>
  <c r="B62" i="4"/>
  <c r="B61" i="18"/>
  <c r="E96" i="4"/>
  <c r="E104" i="4" s="1"/>
  <c r="G49" i="9"/>
  <c r="G45" i="9"/>
  <c r="E60" i="9"/>
  <c r="E48" i="9"/>
  <c r="E47" i="9"/>
  <c r="T11" i="27"/>
  <c r="T23" i="27" s="1"/>
  <c r="E96" i="15"/>
  <c r="S62" i="4"/>
  <c r="E63" i="15" l="1"/>
  <c r="T11" i="26"/>
  <c r="T23" i="26" s="1"/>
  <c r="T26" i="26" s="1"/>
  <c r="T28" i="26" s="1"/>
  <c r="T26" i="27"/>
  <c r="T28" i="27" s="1"/>
  <c r="B95" i="18"/>
  <c r="C104" i="4"/>
  <c r="B97" i="15"/>
  <c r="D97" i="15"/>
  <c r="C97" i="15"/>
  <c r="B96" i="4"/>
  <c r="E67" i="9"/>
  <c r="E66" i="9"/>
  <c r="G60" i="9"/>
  <c r="G48" i="9"/>
  <c r="G47" i="9"/>
  <c r="K35" i="9"/>
  <c r="K37" i="9" s="1"/>
  <c r="M27" i="9"/>
  <c r="E61" i="18"/>
  <c r="S96" i="4"/>
  <c r="BE16" i="28"/>
  <c r="T23" i="5"/>
  <c r="I49" i="9"/>
  <c r="I45" i="9"/>
  <c r="E70" i="9" l="1"/>
  <c r="E72" i="9" s="1"/>
  <c r="E97" i="15"/>
  <c r="T26" i="5"/>
  <c r="T28" i="5" s="1"/>
  <c r="T29" i="5" s="1"/>
  <c r="AD38" i="5"/>
  <c r="AD40" i="5" s="1"/>
  <c r="Y63" i="5"/>
  <c r="Y67" i="5" s="1"/>
  <c r="Q71" i="25"/>
  <c r="O75" i="25" s="1"/>
  <c r="S104" i="4"/>
  <c r="E95" i="18"/>
  <c r="B105" i="15"/>
  <c r="B104" i="4"/>
  <c r="C105" i="15"/>
  <c r="E105" i="15" s="1"/>
  <c r="AC448" i="3"/>
  <c r="D105" i="15"/>
  <c r="B103" i="18"/>
  <c r="K45" i="9"/>
  <c r="K49" i="9"/>
  <c r="G62" i="9"/>
  <c r="G69" i="9"/>
  <c r="G68" i="9"/>
  <c r="G67" i="9"/>
  <c r="G66" i="9"/>
  <c r="M35" i="9"/>
  <c r="M37" i="9" s="1"/>
  <c r="O27" i="9"/>
  <c r="I60" i="9"/>
  <c r="I48" i="9"/>
  <c r="I47" i="9"/>
  <c r="G70" i="9" l="1"/>
  <c r="G72" i="9"/>
  <c r="Y38" i="5"/>
  <c r="Y40" i="5" s="1"/>
  <c r="AR43" i="5" s="1"/>
  <c r="E103" i="18"/>
  <c r="S106" i="4"/>
  <c r="AB46" i="5"/>
  <c r="AB48" i="5" s="1"/>
  <c r="AC447" i="3"/>
  <c r="AB46" i="26"/>
  <c r="AB48" i="26" s="1"/>
  <c r="J58" i="25"/>
  <c r="AB46" i="27"/>
  <c r="AB48" i="27" s="1"/>
  <c r="I66" i="9"/>
  <c r="I62" i="9"/>
  <c r="I69" i="9"/>
  <c r="I68" i="9"/>
  <c r="I67" i="9"/>
  <c r="Q27" i="9"/>
  <c r="O35" i="9"/>
  <c r="O37" i="9" s="1"/>
  <c r="M45" i="9"/>
  <c r="M49" i="9"/>
  <c r="K60" i="9"/>
  <c r="K48" i="9"/>
  <c r="K47" i="9"/>
  <c r="AR42" i="5" l="1"/>
  <c r="Y41" i="5" s="1"/>
  <c r="AB53" i="27"/>
  <c r="AB54" i="27" s="1"/>
  <c r="AB53" i="5"/>
  <c r="AB54" i="5" s="1"/>
  <c r="AB53" i="26"/>
  <c r="AB54" i="26" s="1"/>
  <c r="K67" i="9"/>
  <c r="K66" i="9"/>
  <c r="K62" i="9"/>
  <c r="K69" i="9"/>
  <c r="K68" i="9"/>
  <c r="I70" i="9"/>
  <c r="I72" i="9" s="1"/>
  <c r="O45" i="9"/>
  <c r="O49" i="9"/>
  <c r="X992" i="3"/>
  <c r="X993" i="3" s="1"/>
  <c r="D994" i="3" s="1"/>
  <c r="E105" i="18"/>
  <c r="AC449" i="3"/>
  <c r="G71" i="25"/>
  <c r="G72" i="25" s="1"/>
  <c r="B75" i="25" s="1"/>
  <c r="B76" i="25"/>
  <c r="O76" i="25" s="1"/>
  <c r="M47" i="9"/>
  <c r="M60" i="9"/>
  <c r="M48" i="9"/>
  <c r="S27" i="9"/>
  <c r="Q35" i="9"/>
  <c r="Q37" i="9" s="1"/>
  <c r="AB55" i="5" l="1"/>
  <c r="AB56" i="5" s="1"/>
  <c r="Q49" i="9"/>
  <c r="Q45" i="9"/>
  <c r="Y11" i="26"/>
  <c r="Y23" i="26" s="1"/>
  <c r="Y11" i="27"/>
  <c r="Y23" i="27" s="1"/>
  <c r="S35" i="9"/>
  <c r="S37" i="9" s="1"/>
  <c r="U27" i="9"/>
  <c r="K70" i="9"/>
  <c r="K72" i="9" s="1"/>
  <c r="R75" i="25"/>
  <c r="M67" i="9"/>
  <c r="M66" i="9"/>
  <c r="M62" i="9"/>
  <c r="M69" i="9"/>
  <c r="M68" i="9"/>
  <c r="O48" i="9"/>
  <c r="O47" i="9"/>
  <c r="O60" i="9"/>
  <c r="M25" i="3" l="1"/>
  <c r="Q22" i="28"/>
  <c r="V33" i="28" s="1"/>
  <c r="V35" i="28" s="1"/>
  <c r="BE15" i="28"/>
  <c r="M70" i="9"/>
  <c r="M72" i="9" s="1"/>
  <c r="Y26" i="27"/>
  <c r="Y28" i="27" s="1"/>
  <c r="Y38" i="27"/>
  <c r="Y40" i="27" s="1"/>
  <c r="AD38" i="27"/>
  <c r="AD40" i="27" s="1"/>
  <c r="P203" i="3"/>
  <c r="Y26" i="26"/>
  <c r="Y28" i="26" s="1"/>
  <c r="AD38" i="26"/>
  <c r="AD40" i="26" s="1"/>
  <c r="Y38" i="26"/>
  <c r="Y40" i="26" s="1"/>
  <c r="O68" i="9"/>
  <c r="O67" i="9"/>
  <c r="O66" i="9"/>
  <c r="O62" i="9"/>
  <c r="O69" i="9"/>
  <c r="U35" i="9"/>
  <c r="U37" i="9" s="1"/>
  <c r="W27" i="9"/>
  <c r="Q48" i="9"/>
  <c r="Q47" i="9"/>
  <c r="Q60" i="9"/>
  <c r="S49" i="9"/>
  <c r="S45" i="9"/>
  <c r="AB58" i="5"/>
  <c r="Y41" i="26" l="1"/>
  <c r="AB55" i="26" s="1"/>
  <c r="AB56" i="26" s="1"/>
  <c r="AB58" i="26" s="1"/>
  <c r="F59" i="5"/>
  <c r="AB75" i="5"/>
  <c r="AB76" i="5" s="1"/>
  <c r="W35" i="9"/>
  <c r="W37" i="9" s="1"/>
  <c r="Y27" i="9"/>
  <c r="S60" i="9"/>
  <c r="S48" i="9"/>
  <c r="S47" i="9"/>
  <c r="Q68" i="9"/>
  <c r="Q67" i="9"/>
  <c r="Q66" i="9"/>
  <c r="Q62" i="9"/>
  <c r="Q69" i="9"/>
  <c r="Y63" i="26"/>
  <c r="Y67" i="26" s="1"/>
  <c r="T29" i="26"/>
  <c r="Y41" i="27"/>
  <c r="AB55" i="27" s="1"/>
  <c r="AB56" i="27" s="1"/>
  <c r="U49" i="9"/>
  <c r="U45" i="9"/>
  <c r="O70" i="9"/>
  <c r="O72" i="9" s="1"/>
  <c r="Y63" i="27"/>
  <c r="Y67" i="27" s="1"/>
  <c r="T29" i="27"/>
  <c r="AB77" i="5" l="1"/>
  <c r="AB79" i="5" s="1"/>
  <c r="J80" i="5" s="1"/>
  <c r="M27" i="3"/>
  <c r="Y35" i="9"/>
  <c r="Y37" i="9" s="1"/>
  <c r="AA27" i="9"/>
  <c r="Q70" i="9"/>
  <c r="Q72" i="9" s="1"/>
  <c r="S69" i="9"/>
  <c r="S68" i="9"/>
  <c r="S67" i="9"/>
  <c r="S66" i="9"/>
  <c r="S62" i="9"/>
  <c r="W49" i="9"/>
  <c r="W45" i="9"/>
  <c r="U60" i="9"/>
  <c r="U48" i="9"/>
  <c r="U47" i="9"/>
  <c r="AB58" i="27"/>
  <c r="F59" i="26"/>
  <c r="AB75" i="26"/>
  <c r="AB76" i="26" s="1"/>
  <c r="AB77" i="26" s="1"/>
  <c r="AB79" i="26" s="1"/>
  <c r="J80" i="26" s="1"/>
  <c r="Y49" i="9" l="1"/>
  <c r="Y45" i="9"/>
  <c r="S70" i="9"/>
  <c r="S72" i="9" s="1"/>
  <c r="W203" i="3"/>
  <c r="D203" i="3"/>
  <c r="U69" i="9"/>
  <c r="U68" i="9"/>
  <c r="U67" i="9"/>
  <c r="U66" i="9"/>
  <c r="U62" i="9"/>
  <c r="W60" i="9"/>
  <c r="W48" i="9"/>
  <c r="W47" i="9"/>
  <c r="AA35" i="9"/>
  <c r="AA37" i="9" s="1"/>
  <c r="AC27" i="9"/>
  <c r="AB75" i="27"/>
  <c r="AB76" i="27" s="1"/>
  <c r="AB77" i="27" s="1"/>
  <c r="AB79" i="27" s="1"/>
  <c r="J80" i="27" s="1"/>
  <c r="F59" i="27"/>
  <c r="AC35" i="9" l="1"/>
  <c r="AC37" i="9" s="1"/>
  <c r="AE27" i="9"/>
  <c r="W62" i="9"/>
  <c r="W69" i="9"/>
  <c r="W68" i="9"/>
  <c r="W67" i="9"/>
  <c r="W66" i="9"/>
  <c r="W70" i="9" s="1"/>
  <c r="W72" i="9" s="1"/>
  <c r="Y60" i="9"/>
  <c r="Y48" i="9"/>
  <c r="Y47" i="9"/>
  <c r="AA45" i="9"/>
  <c r="AA49" i="9"/>
  <c r="U70" i="9"/>
  <c r="U72" i="9" s="1"/>
  <c r="AG27" i="9" l="1"/>
  <c r="AG35" i="9" s="1"/>
  <c r="AG37" i="9" s="1"/>
  <c r="AE35" i="9"/>
  <c r="AE37" i="9" s="1"/>
  <c r="AA60" i="9"/>
  <c r="AA48" i="9"/>
  <c r="AA47" i="9"/>
  <c r="Y66" i="9"/>
  <c r="Y62" i="9"/>
  <c r="Y69" i="9"/>
  <c r="Y68" i="9"/>
  <c r="Y67" i="9"/>
  <c r="AC45" i="9"/>
  <c r="AC49" i="9"/>
  <c r="Y70" i="9" l="1"/>
  <c r="Y72" i="9" s="1"/>
  <c r="AC47" i="9"/>
  <c r="AC60" i="9"/>
  <c r="AC48" i="9"/>
  <c r="AE45" i="9"/>
  <c r="AE49" i="9"/>
  <c r="AA67" i="9"/>
  <c r="AA66" i="9"/>
  <c r="AA62" i="9"/>
  <c r="AA69" i="9"/>
  <c r="AA68" i="9"/>
  <c r="AG49" i="9"/>
  <c r="AG45" i="9"/>
  <c r="AA70" i="9" l="1"/>
  <c r="AA72" i="9" s="1"/>
  <c r="AC67" i="9"/>
  <c r="AC66" i="9"/>
  <c r="AC62" i="9"/>
  <c r="AC69" i="9"/>
  <c r="AC68" i="9"/>
  <c r="AG48" i="9"/>
  <c r="AG47" i="9"/>
  <c r="AG60" i="9"/>
  <c r="AE48" i="9"/>
  <c r="AE47" i="9"/>
  <c r="AE60" i="9"/>
  <c r="AE68" i="9" l="1"/>
  <c r="AE67" i="9"/>
  <c r="AE66" i="9"/>
  <c r="AE62" i="9"/>
  <c r="AE69" i="9"/>
  <c r="AC70" i="9"/>
  <c r="AC72" i="9" s="1"/>
  <c r="AG68" i="9"/>
  <c r="AG67" i="9"/>
  <c r="AG66" i="9"/>
  <c r="AG62" i="9"/>
  <c r="AG69" i="9"/>
  <c r="AE70" i="9" l="1"/>
  <c r="AE72" i="9" s="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<sst xmlns="http://schemas.openxmlformats.org/spreadsheetml/2006/main" count="4703" uniqueCount="2543">
  <si>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</si>
  <si>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</si>
  <si>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</si>
  <si>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</si>
  <si>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</si>
  <si>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</si>
  <si>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</si>
  <si>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</si>
  <si>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</si>
  <si>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</si>
  <si>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</si>
  <si>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</si>
  <si>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</si>
  <si>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</si>
  <si>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</si>
  <si>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</si>
  <si>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</si>
  <si>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</si>
  <si>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</si>
  <si>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</si>
  <si>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</si>
  <si>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</si>
  <si>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</si>
  <si>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</si>
  <si>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</si>
  <si>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</si>
  <si>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</si>
  <si>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</si>
  <si>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</si>
  <si>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</si>
  <si>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</si>
  <si>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</si>
  <si>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</si>
  <si>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</si>
  <si>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</si>
  <si>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</si>
  <si>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</si>
  <si>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</si>
  <si>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</si>
  <si>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</si>
  <si>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</si>
  <si>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</si>
  <si>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</si>
  <si>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</si>
  <si>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</si>
  <si>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</si>
  <si>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</si>
  <si>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</si>
  <si>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</si>
  <si>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</si>
  <si>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</si>
  <si>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</si>
  <si>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</si>
  <si>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</si>
  <si>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</si>
  <si>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</si>
  <si>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</si>
  <si>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</si>
  <si>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</si>
  <si>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</si>
  <si>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</si>
  <si>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</si>
  <si>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</si>
  <si>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</si>
  <si>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</si>
  <si>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</si>
  <si>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</si>
  <si>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</si>
  <si>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</si>
  <si>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</si>
  <si>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</si>
  <si>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</si>
  <si>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</si>
  <si>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</si>
  <si>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</si>
  <si>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</si>
  <si>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</si>
  <si>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</si>
  <si>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</si>
  <si>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</si>
  <si>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</si>
  <si>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</si>
  <si>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</si>
  <si>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</si>
  <si>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</si>
  <si>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</si>
  <si>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</si>
  <si>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</si>
  <si>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</si>
  <si>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</si>
  <si>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</si>
  <si>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</si>
  <si>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</si>
  <si>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</si>
  <si>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</si>
  <si>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</si>
  <si>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</si>
  <si>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</si>
  <si>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</si>
  <si>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</si>
  <si>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</si>
  <si>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</si>
  <si>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</si>
  <si>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</si>
  <si>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</si>
  <si>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</si>
  <si>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</si>
  <si>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</si>
  <si>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</si>
  <si>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</si>
  <si>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</si>
  <si>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</si>
  <si>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</si>
  <si>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</si>
  <si>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</si>
  <si>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</si>
  <si>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</si>
  <si>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</si>
  <si>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</si>
  <si>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</si>
  <si>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</si>
  <si>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</si>
  <si>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</si>
  <si>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</si>
  <si>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</si>
  <si>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</si>
  <si>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</si>
  <si>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</si>
  <si>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</si>
  <si>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</si>
  <si>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</si>
  <si>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</si>
  <si>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</si>
  <si>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</si>
  <si>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</si>
  <si>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</si>
  <si>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</si>
  <si>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</si>
  <si>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</si>
  <si>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</si>
  <si>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</si>
  <si>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</si>
  <si>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</si>
  <si>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</si>
  <si>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</si>
  <si>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</si>
  <si>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</si>
  <si>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</si>
  <si>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</si>
  <si>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</si>
  <si>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</si>
  <si>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</si>
  <si>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</si>
  <si>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</si>
  <si>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</si>
  <si>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</si>
  <si>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</si>
  <si>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</si>
  <si>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</si>
  <si>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</si>
  <si>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</si>
  <si>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</si>
  <si>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</si>
  <si>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</si>
  <si>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</si>
  <si>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</si>
  <si>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</si>
  <si>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</si>
  <si>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</si>
  <si>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</si>
  <si>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</si>
  <si>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</si>
  <si>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</si>
  <si>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</si>
  <si>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</si>
  <si>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</si>
  <si>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</si>
  <si>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</si>
  <si>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</si>
  <si>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</si>
  <si>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</si>
  <si>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</si>
  <si>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</si>
  <si>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</si>
  <si>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</si>
  <si>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</si>
  <si>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</si>
  <si>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</si>
  <si>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</si>
  <si>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</si>
  <si>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</si>
  <si>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</si>
  <si>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</si>
  <si>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</si>
  <si>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</si>
  <si>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</si>
  <si>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</si>
  <si>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</si>
  <si>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</si>
  <si>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</si>
  <si>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</si>
  <si>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</si>
  <si>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</si>
  <si>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</si>
  <si>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</si>
  <si>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</si>
  <si>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</si>
  <si>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</si>
  <si>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</si>
  <si>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</si>
  <si>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</si>
  <si>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</si>
  <si>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</si>
  <si>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</si>
  <si>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</si>
  <si>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</si>
  <si>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</si>
  <si>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</si>
  <si>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</si>
  <si>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</si>
  <si>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</si>
  <si>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</si>
  <si>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</si>
  <si>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</si>
  <si>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</si>
  <si>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</si>
  <si>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</si>
  <si>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</si>
  <si>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</si>
  <si>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</si>
  <si>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</si>
  <si>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</si>
  <si>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</si>
  <si>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</si>
  <si>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</si>
  <si>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</si>
  <si>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</si>
  <si>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</si>
  <si>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</si>
  <si>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</si>
  <si>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</si>
  <si>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</si>
  <si>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</si>
  <si>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</si>
  <si>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</si>
  <si>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</si>
  <si>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</si>
  <si>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</si>
  <si>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</si>
  <si>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</si>
  <si>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</si>
  <si>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</si>
  <si>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</si>
  <si>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</si>
  <si>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</si>
  <si>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</si>
  <si>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</si>
  <si>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</si>
  <si>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</si>
  <si>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</si>
  <si>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</si>
  <si>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</si>
  <si>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</si>
  <si>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</si>
  <si>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</si>
  <si>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</si>
  <si>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</si>
  <si>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</si>
  <si>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</si>
  <si>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</si>
  <si>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</si>
  <si>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</si>
  <si>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</si>
  <si>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</si>
  <si>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</si>
  <si>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</si>
  <si>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</si>
  <si>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</si>
  <si>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</si>
  <si>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</si>
  <si>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</si>
  <si>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</si>
  <si>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</si>
  <si>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</si>
  <si>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</si>
  <si>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</si>
  <si>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</si>
  <si>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</si>
  <si>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</si>
  <si>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</si>
  <si>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</si>
  <si>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</si>
  <si>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</si>
  <si>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</si>
  <si>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</si>
  <si>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</si>
  <si>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</si>
  <si>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</si>
  <si>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</si>
  <si>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</si>
  <si>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</si>
  <si>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</si>
  <si>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</si>
  <si>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</si>
  <si>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</si>
  <si>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</si>
  <si>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</si>
  <si>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</si>
  <si>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</si>
  <si>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</si>
  <si>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</si>
  <si>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</si>
  <si>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</si>
  <si>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</si>
  <si>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</si>
  <si>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</si>
  <si>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</si>
  <si>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</si>
  <si>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</si>
  <si>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</si>
  <si>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</si>
  <si>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</si>
  <si>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</si>
  <si>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</si>
  <si>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</si>
  <si>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</si>
  <si>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</si>
  <si>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</si>
  <si>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</si>
  <si>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</si>
  <si>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</si>
  <si>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</si>
  <si>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</si>
  <si>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</si>
  <si>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</si>
  <si>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</si>
  <si>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</si>
  <si>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</si>
  <si>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</si>
  <si>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</si>
  <si>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</si>
  <si>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</si>
  <si>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</si>
  <si>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</si>
  <si>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</si>
  <si>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</si>
  <si>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</si>
  <si>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</si>
  <si>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</si>
  <si>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</si>
  <si>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</si>
  <si>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</si>
  <si>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</si>
  <si>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</si>
  <si>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</si>
  <si>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</si>
  <si>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</si>
  <si>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</si>
  <si>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</si>
  <si>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</si>
  <si>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</si>
  <si>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</si>
  <si>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</si>
  <si>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</si>
  <si>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</si>
  <si>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</si>
  <si>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</si>
  <si>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</si>
  <si>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</si>
  <si>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</si>
  <si>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</si>
  <si>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</si>
  <si>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</si>
  <si>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</si>
  <si>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</si>
  <si>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</si>
  <si>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</si>
  <si>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</si>
  <si>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</si>
  <si>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</si>
  <si>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</si>
  <si>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</si>
  <si>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</si>
  <si>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</si>
  <si>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</si>
  <si>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</si>
  <si>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</si>
  <si>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</si>
  <si>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</si>
  <si>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</si>
  <si>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</si>
  <si>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</si>
  <si>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</si>
  <si>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</si>
  <si>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</si>
  <si>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</si>
  <si>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</si>
  <si>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</si>
  <si>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</si>
  <si>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</si>
  <si>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</si>
  <si>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</si>
  <si>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</si>
  <si>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</si>
  <si>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</si>
  <si>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</si>
  <si>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</si>
  <si>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</si>
  <si>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</si>
  <si>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</si>
  <si>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</si>
  <si>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</si>
  <si>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</si>
  <si>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</si>
  <si>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</si>
  <si>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</si>
  <si>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</si>
  <si>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</si>
  <si>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</si>
  <si>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</si>
  <si>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</si>
  <si>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</si>
  <si>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</si>
  <si>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</si>
  <si>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</si>
  <si>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</si>
  <si>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</si>
  <si>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</si>
  <si>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</si>
  <si>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</si>
  <si>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</si>
  <si>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</si>
  <si>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</si>
  <si>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</si>
  <si>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</si>
  <si>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</si>
  <si>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</si>
  <si>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</si>
  <si>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</si>
  <si>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</si>
  <si>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</si>
  <si>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</si>
  <si>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</si>
  <si>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</si>
  <si>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</si>
  <si>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</si>
  <si>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</si>
  <si>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</si>
  <si>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</si>
  <si>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</si>
  <si>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</si>
  <si>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</si>
  <si>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</si>
  <si>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</si>
  <si>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</si>
  <si>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</si>
  <si>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</si>
  <si>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</si>
  <si>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</si>
  <si>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</si>
  <si>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</si>
  <si>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</si>
  <si>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</si>
  <si>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</si>
  <si>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</si>
  <si>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</si>
  <si>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</si>
  <si>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</si>
  <si>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</si>
  <si>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</si>
  <si>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</si>
  <si>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</si>
  <si>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</si>
  <si>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</si>
  <si>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</si>
  <si>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</si>
  <si>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</si>
  <si>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</si>
  <si>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</si>
  <si>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</si>
  <si>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</si>
  <si>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</si>
  <si>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</si>
  <si>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</si>
  <si>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</si>
  <si>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</si>
  <si>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</si>
  <si>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</si>
  <si>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</si>
  <si>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</si>
  <si>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</si>
  <si>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</si>
  <si>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</si>
  <si>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</si>
  <si>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</si>
  <si>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</si>
  <si>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</si>
  <si>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</si>
  <si>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</si>
  <si>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</si>
  <si>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</si>
  <si>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</si>
  <si>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</si>
  <si>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</si>
  <si>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</si>
  <si>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</si>
  <si>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</si>
  <si>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</si>
  <si>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</si>
  <si>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</si>
  <si>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</si>
  <si>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</si>
  <si>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</si>
  <si>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</si>
  <si>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</si>
  <si>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</si>
  <si>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</si>
  <si>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</si>
  <si>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</si>
  <si>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</si>
  <si>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</si>
  <si>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</si>
  <si>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</si>
  <si>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</si>
  <si>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</si>
  <si>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</si>
  <si>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</si>
  <si>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</si>
  <si>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</si>
  <si>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</si>
  <si>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</si>
  <si>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</si>
  <si>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</si>
  <si>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</si>
  <si>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</si>
  <si>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</si>
  <si>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</si>
  <si>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</si>
  <si>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</si>
  <si>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</si>
  <si>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</si>
  <si>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</si>
  <si>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</si>
  <si>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</si>
  <si>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</si>
  <si>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</si>
  <si>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</si>
  <si>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</si>
  <si>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</si>
  <si>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</si>
  <si>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</si>
  <si>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</si>
  <si>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</si>
  <si>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</si>
  <si>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</si>
  <si>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</si>
  <si>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</si>
  <si>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</si>
  <si>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</si>
  <si>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</si>
  <si>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</si>
  <si>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</si>
  <si>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</si>
  <si>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</si>
  <si>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</si>
  <si>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</si>
  <si>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</si>
  <si>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</si>
  <si>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</si>
  <si>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</si>
  <si>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</si>
  <si>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</si>
  <si>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</si>
  <si>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</si>
  <si>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</si>
  <si>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</si>
  <si>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</si>
  <si>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</si>
  <si>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</si>
  <si>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</si>
  <si>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</si>
  <si>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</si>
  <si>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</si>
  <si>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</si>
  <si>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</si>
  <si>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</si>
  <si>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</si>
  <si>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</si>
  <si>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</si>
  <si>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</si>
  <si>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</si>
  <si>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</si>
  <si>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</si>
  <si>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</si>
  <si>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</si>
  <si>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</si>
  <si>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</si>
  <si>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</si>
  <si>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</si>
  <si>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</si>
  <si>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</si>
  <si>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</si>
  <si>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</si>
  <si>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</si>
  <si>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</si>
  <si>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</si>
  <si>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</si>
  <si>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</si>
  <si>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</si>
  <si>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</si>
  <si>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</si>
  <si>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</si>
  <si>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</si>
  <si>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</si>
  <si>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</si>
  <si>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</si>
  <si>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</si>
  <si>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</si>
  <si>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</si>
  <si>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</si>
  <si>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</si>
  <si>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</si>
  <si>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</si>
  <si>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</si>
  <si>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</si>
  <si>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</si>
  <si>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</si>
  <si>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</si>
  <si>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</si>
  <si>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</si>
  <si>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</si>
  <si>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</si>
  <si>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</si>
  <si>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</si>
  <si>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</si>
  <si>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</si>
  <si>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</si>
  <si>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</si>
  <si>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</si>
  <si>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</si>
  <si>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</si>
  <si>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</si>
  <si>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</si>
  <si>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</si>
  <si>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</si>
  <si>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</si>
  <si>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</si>
  <si>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</si>
  <si>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</si>
  <si>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</si>
  <si>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</si>
  <si>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</si>
  <si>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</si>
  <si>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</si>
  <si>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</si>
  <si>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</si>
  <si>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</si>
  <si>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</si>
  <si>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</si>
  <si>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</si>
  <si>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</si>
  <si>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</si>
  <si>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</si>
  <si>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</si>
  <si>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</si>
  <si>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</si>
  <si>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</si>
  <si>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</si>
  <si>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</si>
  <si>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</si>
  <si>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</si>
  <si>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</si>
  <si>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</si>
  <si>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</si>
  <si>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</si>
  <si>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</si>
  <si>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</si>
  <si>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</si>
  <si>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</si>
  <si>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</si>
  <si>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</si>
  <si>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</si>
  <si>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</si>
  <si>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</si>
  <si>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</si>
  <si>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</si>
  <si>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</si>
  <si>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</si>
  <si>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</si>
  <si>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</si>
  <si>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</si>
  <si>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</si>
  <si>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</si>
  <si>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</si>
  <si>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</si>
  <si>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</si>
  <si>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</si>
  <si>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</si>
  <si>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</si>
  <si>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</si>
  <si>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</si>
  <si>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</si>
  <si>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</si>
  <si>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</si>
  <si>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</si>
  <si>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</si>
  <si>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</si>
  <si>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</si>
  <si>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</si>
  <si>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</si>
  <si>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</si>
  <si>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</si>
  <si>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</si>
  <si>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</si>
  <si>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</si>
  <si>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</si>
  <si>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</si>
  <si>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</si>
  <si>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</si>
  <si>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</si>
  <si>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</si>
  <si>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</si>
  <si>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</si>
  <si>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</si>
  <si>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</si>
  <si>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</si>
  <si>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</si>
  <si>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</si>
  <si>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</si>
  <si>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</si>
  <si>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</si>
  <si>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</si>
  <si>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</si>
  <si>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</si>
  <si>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</si>
  <si>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</si>
  <si>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</si>
  <si>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</si>
  <si>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</si>
  <si>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</si>
  <si>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</si>
  <si>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</si>
  <si>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</si>
  <si>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</si>
  <si>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</si>
  <si>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</si>
  <si>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</si>
  <si>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</si>
  <si>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</si>
  <si>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</si>
  <si>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</si>
  <si>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</si>
  <si>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</si>
  <si>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</si>
  <si>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</si>
  <si>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</si>
  <si>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</si>
  <si>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</si>
  <si>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</si>
  <si>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</si>
  <si>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</si>
  <si>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</si>
  <si>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</si>
  <si>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</si>
  <si>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</si>
  <si>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</si>
  <si>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</si>
  <si>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</si>
  <si>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</si>
  <si>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</si>
  <si>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</si>
  <si>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</si>
  <si>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</si>
  <si>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</si>
  <si>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</si>
  <si>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</si>
  <si>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</si>
  <si>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</si>
  <si>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</si>
  <si>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</si>
  <si>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</si>
  <si>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</si>
  <si>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</si>
  <si>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</si>
  <si>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</si>
  <si>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</si>
  <si>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</si>
  <si>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</si>
  <si>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</si>
  <si>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</si>
  <si>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</si>
  <si>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</si>
  <si>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</si>
  <si>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</si>
  <si>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</si>
  <si>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</si>
  <si>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</si>
  <si>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</si>
  <si>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</si>
  <si>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</si>
  <si>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</si>
  <si>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</si>
  <si>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</si>
  <si>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</si>
  <si>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</si>
  <si>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</si>
  <si>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</si>
  <si>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</si>
  <si>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</si>
  <si>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</si>
  <si>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</si>
  <si>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</si>
  <si>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</si>
  <si>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</si>
  <si>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</si>
  <si>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</si>
  <si>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</si>
  <si>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</si>
  <si>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</si>
  <si>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</si>
  <si>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</si>
  <si>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</si>
  <si>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</si>
  <si>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</si>
  <si>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</si>
  <si>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</si>
  <si>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</si>
  <si>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</si>
  <si>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</si>
  <si>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</si>
  <si>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</si>
  <si>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</si>
  <si>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</si>
  <si>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</si>
  <si>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</si>
  <si>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</si>
  <si>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</si>
  <si>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</si>
  <si>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</si>
  <si>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</si>
  <si>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</si>
  <si>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</si>
  <si>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</si>
  <si>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</si>
  <si>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</si>
  <si>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</si>
  <si>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</si>
  <si>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</si>
  <si>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</si>
  <si>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</si>
  <si>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</si>
  <si>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</si>
  <si>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</si>
  <si>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</si>
  <si>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</si>
  <si>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</si>
  <si>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</si>
  <si>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</si>
  <si>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</si>
  <si>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</si>
  <si>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</si>
  <si>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</si>
  <si>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</si>
  <si>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</si>
  <si>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</si>
  <si>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</si>
  <si>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</si>
  <si>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</si>
  <si>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</si>
  <si>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</si>
  <si>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</si>
  <si>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</si>
  <si>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</si>
  <si>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</si>
  <si>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</si>
  <si>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</si>
  <si>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</si>
  <si>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</si>
  <si>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</si>
  <si>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</si>
  <si>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</si>
  <si>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</si>
  <si>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</si>
  <si>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</si>
  <si>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</si>
  <si>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</si>
  <si>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</si>
  <si>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</si>
  <si>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</si>
  <si>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</si>
  <si>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</si>
  <si>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</si>
  <si>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</si>
  <si>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</si>
  <si>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</si>
  <si>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</si>
  <si>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</si>
  <si>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</si>
  <si>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</si>
  <si>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</si>
  <si>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</si>
  <si>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</si>
  <si>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</si>
  <si>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</si>
  <si>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</si>
  <si>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</si>
  <si>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</si>
  <si>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</si>
  <si>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</si>
  <si>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</si>
  <si>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</si>
  <si>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</si>
  <si>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</si>
  <si>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</si>
  <si>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</si>
  <si>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</si>
  <si>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</si>
  <si>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</si>
  <si>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</si>
  <si>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</si>
  <si>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</si>
  <si>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</si>
  <si>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</si>
  <si>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</si>
  <si>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</si>
  <si>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</si>
  <si>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</si>
  <si>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</si>
  <si>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</si>
  <si>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</si>
  <si>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</si>
  <si>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</si>
  <si>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</si>
  <si>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</si>
  <si>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</si>
  <si>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</si>
  <si>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</si>
  <si>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</si>
  <si>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</si>
  <si>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</si>
  <si>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</si>
  <si>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</si>
  <si>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</si>
  <si>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</si>
  <si>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</si>
  <si>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</si>
  <si>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</si>
  <si>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</si>
  <si>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</si>
  <si>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</si>
  <si>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</si>
  <si>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</si>
  <si>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</si>
  <si>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</si>
  <si>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</si>
  <si>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</si>
  <si>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</si>
  <si>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</si>
  <si>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</si>
  <si>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</si>
  <si>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</si>
  <si>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</si>
  <si>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</si>
  <si>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</si>
  <si>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</si>
  <si>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</si>
  <si>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</si>
  <si>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</si>
  <si>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</si>
  <si>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</si>
  <si>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</si>
  <si>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</si>
  <si>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</si>
  <si>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</si>
  <si>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</si>
  <si>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</si>
  <si>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</si>
  <si>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</si>
  <si>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</si>
  <si>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</si>
  <si>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</si>
  <si>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</si>
  <si>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</si>
  <si>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</si>
  <si>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</si>
  <si>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</si>
  <si>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</si>
  <si>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</si>
  <si>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</si>
  <si>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</si>
  <si>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</si>
  <si>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</si>
  <si>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</si>
  <si>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</si>
  <si>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</si>
  <si>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</si>
  <si>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</si>
  <si>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</si>
  <si>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</si>
  <si>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</si>
  <si>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</si>
  <si>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</si>
  <si>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</si>
  <si>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</si>
  <si>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</si>
  <si>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</si>
  <si>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</si>
  <si>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</si>
  <si>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</si>
  <si>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</si>
  <si>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</si>
  <si>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</si>
  <si>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</si>
  <si>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</si>
  <si>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</si>
  <si>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</si>
  <si>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</si>
  <si>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</si>
  <si>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</si>
  <si>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</si>
  <si>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</si>
  <si>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</si>
  <si>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</si>
  <si>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</si>
  <si>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</si>
  <si>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</si>
  <si>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</si>
  <si>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</si>
  <si>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</si>
  <si>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</si>
  <si>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</si>
  <si>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</si>
  <si>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</si>
  <si>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</si>
  <si>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</si>
  <si>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</si>
  <si>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</si>
  <si>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</si>
  <si>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</si>
  <si>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</si>
  <si>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</si>
  <si>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</si>
  <si>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</si>
  <si>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</si>
  <si>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</si>
  <si>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</si>
  <si>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</si>
  <si>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</si>
  <si>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</si>
  <si>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</si>
  <si>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</si>
  <si>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</si>
  <si>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</si>
  <si>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</si>
  <si>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</si>
  <si>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</si>
  <si>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</si>
  <si>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</si>
  <si>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</si>
  <si>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</si>
  <si>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</si>
  <si>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</si>
  <si>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</si>
  <si>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</si>
  <si>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</si>
  <si>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</si>
  <si>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</si>
  <si>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</si>
  <si>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</si>
  <si>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</si>
  <si>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</si>
  <si>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</si>
  <si>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</si>
  <si>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</si>
  <si>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</si>
  <si>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</si>
  <si>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</si>
  <si>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</si>
  <si>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</si>
  <si>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</si>
  <si>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</si>
  <si>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</si>
  <si>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</si>
  <si>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</si>
  <si>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</si>
  <si>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</si>
  <si>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</si>
  <si>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</si>
  <si>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</si>
  <si>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</si>
  <si>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</si>
  <si>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</si>
  <si>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</si>
  <si>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</si>
  <si>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</si>
  <si>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</si>
  <si>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</si>
  <si>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</si>
  <si>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</si>
  <si>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</si>
  <si>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</si>
  <si>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</si>
  <si>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</si>
  <si>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</si>
  <si>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</si>
  <si>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</si>
  <si>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</si>
  <si>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</si>
  <si>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</si>
  <si>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</si>
  <si>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</si>
  <si>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</si>
  <si>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</si>
  <si>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</si>
  <si>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</si>
  <si>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</si>
  <si>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</si>
  <si>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</si>
  <si>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</si>
  <si>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</si>
  <si>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</si>
  <si>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</si>
  <si>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</si>
  <si>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</si>
  <si>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</si>
  <si>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</si>
  <si>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</si>
  <si>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</si>
  <si>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</si>
  <si>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</si>
  <si>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</si>
  <si>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</si>
  <si>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</si>
  <si>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</si>
  <si>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</si>
  <si>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</si>
  <si>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</si>
  <si>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</si>
  <si>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</si>
  <si>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</si>
  <si>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</si>
  <si>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</si>
  <si>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</si>
  <si>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</si>
  <si>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</si>
  <si>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</si>
  <si>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</si>
  <si>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</si>
  <si>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</si>
  <si>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</si>
  <si>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</si>
  <si>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</si>
  <si>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</si>
  <si>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</si>
  <si>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</si>
  <si>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</si>
  <si>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</si>
  <si>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</si>
  <si>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</si>
  <si>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</si>
  <si>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</si>
  <si>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</si>
  <si>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</si>
  <si>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</si>
  <si>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</si>
  <si>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</si>
  <si>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</si>
  <si>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</si>
  <si>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</si>
  <si>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</si>
  <si>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</si>
  <si>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</si>
  <si>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</si>
  <si>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</si>
  <si>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</si>
  <si>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</si>
  <si>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</si>
  <si>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</si>
  <si>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</si>
  <si>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</si>
  <si>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</si>
  <si>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</si>
  <si>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</si>
  <si>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</si>
  <si>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</si>
  <si>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</si>
  <si>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</si>
  <si>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</si>
  <si>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</si>
  <si>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</si>
  <si>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</si>
  <si>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</si>
  <si>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</si>
  <si>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</si>
  <si>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</si>
  <si>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</si>
  <si>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</si>
  <si>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</si>
  <si>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</si>
  <si>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</si>
  <si>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</si>
  <si>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</si>
  <si>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</si>
  <si>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</si>
  <si>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</si>
  <si>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</si>
  <si>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</si>
  <si>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</si>
  <si>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</si>
  <si>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</si>
  <si>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</si>
  <si>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</si>
  <si>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</si>
  <si>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</si>
  <si>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</si>
  <si>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</si>
  <si>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</si>
  <si>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</si>
  <si>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</si>
  <si>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</si>
  <si>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</si>
  <si>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</si>
  <si>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</si>
  <si>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</si>
  <si>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</si>
  <si>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</si>
  <si>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</si>
  <si>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</si>
  <si>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</si>
  <si>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</si>
  <si>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</si>
  <si>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</si>
  <si>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</si>
  <si>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</si>
  <si>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</si>
  <si>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</si>
  <si>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</si>
  <si>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</si>
  <si>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</si>
  <si>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</si>
  <si>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</si>
  <si>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</si>
  <si>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</si>
  <si>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</si>
  <si>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</si>
  <si>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</si>
  <si>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</si>
  <si>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</si>
  <si>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</si>
  <si>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</si>
  <si>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</si>
  <si>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</si>
  <si>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</si>
  <si>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</si>
  <si>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</si>
  <si>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</si>
  <si>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</si>
  <si>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</si>
  <si>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</si>
  <si>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</si>
  <si>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</si>
  <si>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</si>
  <si>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</si>
  <si>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</si>
  <si>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</si>
  <si>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</si>
  <si>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</si>
  <si>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</si>
  <si>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</si>
  <si>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</si>
  <si>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</si>
  <si>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</si>
  <si>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</si>
  <si>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</si>
  <si>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</si>
  <si>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</si>
  <si>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</si>
  <si>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</si>
  <si>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</si>
  <si>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</si>
  <si>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</si>
  <si>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</si>
  <si>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</si>
  <si>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</si>
  <si>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</si>
  <si>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</si>
  <si>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</si>
  <si>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</si>
  <si>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</si>
  <si>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</si>
  <si>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</si>
  <si>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</si>
  <si>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</si>
  <si>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</si>
  <si>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</si>
  <si>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</si>
  <si>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</si>
  <si>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</si>
  <si>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</si>
  <si>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</si>
  <si>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</si>
  <si>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</si>
  <si>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</si>
  <si>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</si>
  <si>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</si>
  <si>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</si>
  <si>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</si>
  <si>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</si>
  <si>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</si>
  <si>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</si>
  <si>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</si>
  <si>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</si>
  <si>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</si>
  <si>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</si>
  <si>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</si>
  <si>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</si>
  <si>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</si>
  <si>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</si>
  <si>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</si>
  <si>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</si>
  <si>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</si>
  <si>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</si>
  <si>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</si>
  <si>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</si>
  <si>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</si>
  <si>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</si>
  <si>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</si>
  <si>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</si>
  <si>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</si>
  <si>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</si>
  <si>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</si>
  <si>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</si>
  <si>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</si>
  <si>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</si>
  <si>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</si>
  <si>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</si>
  <si>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</si>
  <si>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</si>
  <si>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</si>
  <si>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</si>
  <si>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</si>
  <si>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</si>
  <si>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</si>
  <si>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</si>
  <si>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</si>
  <si>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</si>
  <si>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</si>
  <si>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</si>
  <si>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</si>
  <si>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</si>
  <si>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</si>
  <si>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</si>
  <si>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</si>
  <si>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</si>
  <si>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</si>
  <si>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</si>
  <si>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</si>
  <si>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</si>
  <si>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</si>
  <si>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</si>
  <si>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</si>
  <si>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</si>
  <si>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</si>
  <si>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</si>
  <si>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</si>
  <si>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</si>
  <si>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</si>
  <si>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</si>
  <si>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</si>
  <si>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</si>
  <si>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</si>
  <si>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</si>
  <si>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</si>
  <si>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</si>
  <si>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</si>
  <si>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</si>
  <si>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</si>
  <si>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</si>
  <si>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</si>
  <si>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</si>
  <si>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</si>
  <si>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</si>
  <si>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</si>
  <si>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</si>
  <si>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</si>
  <si>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</si>
  <si>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</si>
  <si>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</si>
  <si>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</si>
  <si>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</si>
  <si>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</si>
  <si>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</si>
  <si>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</si>
  <si>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</si>
  <si>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</si>
  <si>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</si>
  <si>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</si>
  <si>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</si>
  <si>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</si>
  <si>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</si>
  <si>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</si>
  <si>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</si>
  <si>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</si>
  <si>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</si>
  <si>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</si>
  <si>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</si>
  <si>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</si>
  <si>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</si>
  <si>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</si>
  <si>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</si>
  <si>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</si>
  <si>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</si>
  <si>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</si>
  <si>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</si>
  <si>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</si>
  <si>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</si>
  <si>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</si>
  <si>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</si>
  <si>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</si>
  <si>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</si>
  <si>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</si>
  <si>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</si>
  <si>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</si>
  <si>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</si>
  <si>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</si>
  <si>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</si>
  <si>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</si>
  <si>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</si>
  <si>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</si>
  <si>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</si>
  <si>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</si>
  <si>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</si>
  <si>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</si>
  <si>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</si>
  <si>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</si>
  <si>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</si>
  <si>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</si>
  <si>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</si>
  <si>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</si>
  <si>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</si>
  <si>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</si>
  <si>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</si>
  <si>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</si>
  <si>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</si>
  <si>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</si>
  <si>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</si>
  <si>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</si>
  <si>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</si>
  <si>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</si>
  <si>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</si>
  <si>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</si>
  <si>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</si>
  <si>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</si>
  <si>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</si>
  <si>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</si>
  <si>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</si>
  <si>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</si>
  <si>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</si>
  <si>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</si>
  <si>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</si>
  <si>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</si>
  <si>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</si>
  <si>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</si>
  <si>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</si>
  <si>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</si>
  <si>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</si>
  <si>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</si>
  <si>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</si>
  <si>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</si>
  <si>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</si>
  <si>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</si>
  <si>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</si>
  <si>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</si>
  <si>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</si>
  <si>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</si>
  <si>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</si>
  <si>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</si>
  <si>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</si>
  <si>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</si>
  <si>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</si>
  <si>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</si>
  <si>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</si>
  <si>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</si>
  <si>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</si>
  <si>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</si>
  <si>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</si>
  <si>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</si>
  <si>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</si>
  <si>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</si>
  <si>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</si>
  <si>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</si>
  <si>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</si>
  <si>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</si>
  <si>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</si>
  <si>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</si>
  <si>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</si>
  <si>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</si>
  <si>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</si>
  <si>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</si>
  <si>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</si>
  <si>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</si>
  <si>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</si>
  <si>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</si>
  <si>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</si>
  <si>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</si>
  <si>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</si>
  <si>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</si>
  <si>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</si>
  <si>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</si>
  <si>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</si>
  <si>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</si>
  <si>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</si>
  <si>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</si>
  <si>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</si>
  <si>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</si>
  <si>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</si>
  <si>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</si>
  <si>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</si>
  <si>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</si>
  <si>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</si>
  <si>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</si>
  <si>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</si>
  <si>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</si>
  <si>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</si>
  <si>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</si>
  <si>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</si>
  <si>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</si>
  <si>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</si>
  <si>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</si>
  <si>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</si>
  <si>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</si>
  <si>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</si>
  <si>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</si>
  <si>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</si>
  <si>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</si>
  <si>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</si>
  <si>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</si>
  <si>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</si>
  <si>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</si>
  <si>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</si>
  <si>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</si>
  <si>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</si>
  <si>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</si>
  <si>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</si>
  <si>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</si>
  <si>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</si>
  <si>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</si>
  <si>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</si>
  <si>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</si>
  <si>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</si>
  <si>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</si>
  <si>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</si>
  <si>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</si>
  <si>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</si>
  <si>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</si>
  <si>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</si>
  <si>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</si>
  <si>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</si>
  <si>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</si>
  <si>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</si>
  <si>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</si>
  <si>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</si>
  <si>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</si>
  <si>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</si>
  <si>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</si>
  <si>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</si>
  <si>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</si>
  <si>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</si>
  <si>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</si>
  <si>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</si>
  <si>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</si>
  <si>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</si>
  <si>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</si>
  <si>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</si>
  <si>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</si>
  <si>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</si>
  <si>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</si>
  <si>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</si>
  <si>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</si>
  <si>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</si>
  <si>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</si>
  <si>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</si>
  <si>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</si>
  <si>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</si>
  <si>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</si>
  <si>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</si>
  <si>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</si>
  <si>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</si>
  <si>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</si>
  <si>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</si>
  <si>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</si>
  <si>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</si>
  <si>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</si>
  <si>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</si>
  <si>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</si>
  <si>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</si>
  <si>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</si>
  <si>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</si>
  <si>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</si>
  <si>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</si>
  <si>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</si>
  <si>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</si>
  <si>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</si>
  <si>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</si>
  <si>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</si>
  <si>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</si>
  <si>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</si>
  <si>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</si>
  <si>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</si>
  <si>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</si>
  <si>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</si>
  <si>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</si>
  <si>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</si>
  <si>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</si>
  <si>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</si>
  <si>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</si>
  <si>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</si>
  <si>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</si>
  <si>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</si>
  <si>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</si>
  <si>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</si>
  <si>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</si>
  <si>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</si>
  <si>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</si>
  <si>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</si>
  <si>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</si>
  <si>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</si>
  <si>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</si>
  <si>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</si>
  <si>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</si>
  <si>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</si>
  <si>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</si>
  <si>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</si>
  <si>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</si>
  <si>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</si>
  <si>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</si>
  <si>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</si>
  <si>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</si>
  <si>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</si>
  <si>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</si>
  <si>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</si>
  <si>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</si>
  <si>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</si>
  <si>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</si>
  <si>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</si>
  <si>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</si>
  <si>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</si>
  <si>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</si>
  <si>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</si>
  <si>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</si>
  <si>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</si>
  <si>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</si>
  <si>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</si>
  <si>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</si>
  <si>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</si>
  <si>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</si>
  <si>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</si>
  <si>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</si>
  <si>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</si>
  <si>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</si>
  <si>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</si>
  <si>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</si>
  <si>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</si>
  <si>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</si>
  <si>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</si>
  <si>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</si>
  <si>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</si>
  <si>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</si>
  <si>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</si>
  <si>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</si>
  <si>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</si>
  <si>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</si>
  <si>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</si>
  <si>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</si>
  <si>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</si>
  <si>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</si>
  <si>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</si>
  <si>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</si>
  <si>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</si>
  <si>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</si>
  <si>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</si>
  <si>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</si>
  <si>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</si>
  <si>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</si>
  <si>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</si>
  <si>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</si>
  <si>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</si>
  <si>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</si>
  <si>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</si>
  <si>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</si>
  <si>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</si>
  <si>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</si>
  <si>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</si>
  <si>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</si>
  <si>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</si>
  <si>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</si>
  <si>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</si>
  <si>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</si>
  <si>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</si>
  <si>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</si>
  <si>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</si>
  <si>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</si>
  <si>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</si>
  <si>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</si>
  <si>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</si>
  <si>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</si>
  <si>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</si>
  <si>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</si>
  <si>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</si>
  <si>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</si>
  <si>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</si>
  <si>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</si>
  <si>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</si>
  <si>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</si>
  <si>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</si>
  <si>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</si>
  <si>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</si>
  <si>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</si>
  <si>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</si>
  <si>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</si>
  <si>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</si>
  <si>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</si>
  <si>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</si>
  <si>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</si>
  <si>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</si>
  <si>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</si>
  <si>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</si>
  <si>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</si>
  <si>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</si>
  <si>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</si>
  <si>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</si>
  <si>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</si>
  <si>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</si>
  <si>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</si>
  <si>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</si>
  <si>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</si>
  <si>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</si>
  <si>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</si>
  <si>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</si>
  <si>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</si>
  <si>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</si>
  <si>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</si>
  <si>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</si>
  <si>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</si>
  <si>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</si>
  <si>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</si>
  <si>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</si>
  <si>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</si>
  <si>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</si>
  <si>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</si>
  <si>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</si>
  <si>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</si>
  <si>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</si>
  <si>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</si>
  <si>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</si>
  <si>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</si>
  <si>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</si>
  <si>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</si>
  <si>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</si>
  <si>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</si>
  <si>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</si>
  <si>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</si>
  <si>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</si>
  <si>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</si>
  <si>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</si>
  <si>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</si>
  <si>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</si>
  <si>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</si>
  <si>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</si>
  <si>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</si>
  <si>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</si>
  <si>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</si>
  <si>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</si>
  <si>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</si>
  <si>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</si>
  <si>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</si>
  <si>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</si>
  <si>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</si>
  <si>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</si>
  <si>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</si>
  <si>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</si>
  <si>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</si>
  <si>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</si>
  <si>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</si>
  <si>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</si>
  <si>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</si>
  <si>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</si>
  <si>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</si>
  <si>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</si>
  <si>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</si>
  <si>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</si>
  <si>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</si>
  <si>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</si>
  <si>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</si>
  <si>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</si>
  <si>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</si>
  <si>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</si>
  <si>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</si>
  <si>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</si>
  <si>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</si>
  <si>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</si>
  <si>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</si>
  <si>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</si>
  <si>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</si>
  <si>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</si>
  <si>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</si>
  <si>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</si>
  <si>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</si>
  <si>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</si>
  <si>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</si>
  <si>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</si>
  <si>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</si>
  <si>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</si>
  <si>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</si>
  <si>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</si>
  <si>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</si>
  <si>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</si>
  <si>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</si>
  <si>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</si>
  <si>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</si>
  <si>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</si>
  <si>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</si>
  <si>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</si>
  <si>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</si>
  <si>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</si>
  <si>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</si>
  <si>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</si>
  <si>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</si>
  <si>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</si>
  <si>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</si>
  <si>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</si>
  <si>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</si>
  <si>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</si>
  <si>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</si>
  <si>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</si>
  <si>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</si>
  <si>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</si>
  <si>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</si>
  <si>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</si>
  <si>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</si>
  <si>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</si>
  <si>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</si>
  <si>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</si>
  <si>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</si>
  <si>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</si>
  <si>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</si>
  <si>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</si>
  <si>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</si>
  <si>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</si>
  <si>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</si>
  <si>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</si>
  <si>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</si>
  <si>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</si>
  <si>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</si>
  <si>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</si>
  <si>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</si>
  <si>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</si>
  <si>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</si>
  <si>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</si>
  <si>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</si>
  <si>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</si>
  <si>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</si>
  <si>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</si>
  <si>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</si>
  <si>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</si>
  <si>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</si>
  <si>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</si>
  <si>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</si>
  <si>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</si>
  <si>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</si>
  <si>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</si>
  <si>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</si>
  <si>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</si>
  <si>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</si>
  <si>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</si>
  <si>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</si>
  <si>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</si>
  <si>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</si>
  <si>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</si>
  <si>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</si>
  <si>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</si>
  <si>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</si>
  <si>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</si>
  <si>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</si>
  <si>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</si>
  <si>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</si>
  <si>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</si>
  <si>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</si>
  <si>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</si>
  <si>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</si>
  <si>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</si>
  <si>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</si>
  <si>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</si>
  <si>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</si>
  <si>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</si>
  <si>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</si>
  <si>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</si>
  <si>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</si>
  <si>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</si>
  <si>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</si>
  <si>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</si>
  <si>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</si>
  <si>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</si>
  <si>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</si>
  <si>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</si>
  <si>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</si>
  <si>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</si>
  <si>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</si>
  <si>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</si>
  <si>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</si>
  <si>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</si>
  <si>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</si>
  <si>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</si>
  <si>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</si>
  <si>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</si>
  <si>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</si>
  <si>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</si>
  <si>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</si>
  <si>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</si>
  <si>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</si>
  <si>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</si>
  <si>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</si>
  <si>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</si>
  <si>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</si>
  <si>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</si>
  <si>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</si>
  <si>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</si>
  <si>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</si>
  <si>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</si>
  <si>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</si>
  <si>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</si>
  <si>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</si>
  <si>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</si>
  <si>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</si>
  <si>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</si>
  <si>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</si>
  <si>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</si>
  <si>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</si>
  <si>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</si>
  <si>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</si>
  <si>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</si>
  <si>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</si>
  <si>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</si>
  <si>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</si>
  <si>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</si>
  <si>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</si>
  <si>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</si>
  <si>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</si>
  <si>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</si>
  <si>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</si>
  <si>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</si>
  <si>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</si>
  <si>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</si>
  <si>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</si>
  <si>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</si>
  <si>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</si>
  <si>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</si>
  <si>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</si>
  <si>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</si>
  <si>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</si>
  <si>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</si>
  <si>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</si>
  <si>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</si>
  <si>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</si>
  <si>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</si>
  <si>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</si>
  <si>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</si>
  <si>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</si>
  <si>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</si>
  <si>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</si>
  <si>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</si>
  <si>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</si>
  <si>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</si>
  <si>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</si>
  <si>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</si>
  <si>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</si>
  <si>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</si>
  <si>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</si>
  <si>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</si>
  <si>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</si>
  <si>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</si>
  <si>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</si>
  <si>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</si>
  <si>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</si>
  <si>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</si>
  <si>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</si>
  <si>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</si>
  <si>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</si>
  <si>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</si>
  <si>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</si>
  <si>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</si>
  <si>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</si>
  <si>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</si>
  <si>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</si>
  <si>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</si>
  <si>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</si>
  <si>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</si>
  <si>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</si>
  <si>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</si>
  <si>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</si>
  <si>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</si>
  <si>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</si>
  <si>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</si>
  <si>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</si>
  <si>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</si>
  <si>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</si>
  <si>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</si>
  <si>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</si>
  <si>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</si>
  <si>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</si>
  <si>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</si>
  <si>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</si>
  <si>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</si>
  <si>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</si>
  <si>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</si>
  <si>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</si>
  <si>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</si>
  <si>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</si>
  <si>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</si>
  <si>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</si>
  <si>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</si>
  <si>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</si>
  <si>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</si>
  <si>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</si>
  <si>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</si>
  <si>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</si>
  <si>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</si>
  <si>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</si>
  <si>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</si>
  <si>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</si>
  <si>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</si>
  <si>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</si>
  <si>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</si>
  <si>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</si>
  <si>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</si>
  <si>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</si>
  <si>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</si>
  <si>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</si>
  <si>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</si>
  <si>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</si>
  <si>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</si>
  <si>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</si>
  <si>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</si>
  <si>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</si>
  <si>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</si>
  <si>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</si>
  <si>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</si>
  <si>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</si>
  <si>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</si>
  <si>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</si>
  <si>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</si>
  <si>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</si>
  <si>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</si>
  <si>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</si>
  <si>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</si>
  <si>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</si>
  <si>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</si>
  <si>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</si>
  <si>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</si>
  <si>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</si>
  <si>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</si>
  <si>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</si>
  <si>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</si>
  <si>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</si>
  <si>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</si>
  <si>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</si>
  <si>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</si>
  <si>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</si>
  <si>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</si>
  <si>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</si>
  <si>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</si>
  <si>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</si>
  <si>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</si>
  <si>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</si>
  <si>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</si>
  <si>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</si>
  <si>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</si>
  <si>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</si>
  <si>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</si>
  <si>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</si>
  <si>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</si>
  <si>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</si>
  <si>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</si>
  <si>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</si>
  <si>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</si>
  <si>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</si>
  <si>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</si>
  <si>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</si>
  <si>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</si>
  <si>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</si>
  <si>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</si>
  <si>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</si>
  <si>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</si>
  <si>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</si>
  <si>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</si>
  <si>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</si>
  <si>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</si>
  <si>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</si>
  <si>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</si>
  <si>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</si>
  <si>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</si>
  <si>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</si>
  <si>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</si>
  <si>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</si>
  <si>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</si>
  <si>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</si>
  <si>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</si>
  <si>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</si>
  <si>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</si>
  <si>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</si>
  <si>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</si>
  <si>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</si>
  <si>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</si>
  <si>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</si>
  <si>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</si>
  <si>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</si>
  <si>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</si>
  <si>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</si>
  <si>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</si>
  <si>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</si>
  <si>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</si>
  <si>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</si>
  <si>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</si>
  <si>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</si>
  <si>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</si>
  <si>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</si>
  <si>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</si>
  <si>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</si>
  <si>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</si>
  <si>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</si>
  <si>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</si>
  <si>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</si>
  <si>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</si>
  <si>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</si>
  <si>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</si>
  <si>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</si>
  <si>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</si>
  <si>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</si>
  <si>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</si>
  <si>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</si>
  <si>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</si>
  <si>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</si>
  <si>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</si>
  <si>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</si>
  <si>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</si>
  <si>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</si>
  <si>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</si>
  <si>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</si>
  <si>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</si>
  <si>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</si>
  <si>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</si>
  <si>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</si>
  <si>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</si>
  <si>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</si>
  <si>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</si>
  <si>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</si>
  <si>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</si>
  <si>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</si>
  <si>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</si>
  <si>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</si>
  <si>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</si>
  <si>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</si>
  <si>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</si>
  <si>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</si>
  <si>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</si>
  <si>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</si>
  <si>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</si>
  <si>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</si>
  <si>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</si>
  <si>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</si>
  <si>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</si>
  <si>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</si>
  <si>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</si>
  <si>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</si>
  <si>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</si>
  <si>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</si>
  <si>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</si>
  <si>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</si>
  <si>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</si>
  <si>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</si>
  <si>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</si>
  <si>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</si>
  <si>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</si>
  <si>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</si>
  <si>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</si>
  <si>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</si>
  <si>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</si>
  <si>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</si>
  <si>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</si>
  <si>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</si>
  <si>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</si>
  <si>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</si>
  <si>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</si>
  <si>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</si>
  <si>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</si>
  <si>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</si>
  <si>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</si>
  <si>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</si>
  <si>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</si>
  <si>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</si>
  <si>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</si>
  <si>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</si>
  <si>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</si>
  <si>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</si>
  <si>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</si>
  <si>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</si>
  <si>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</si>
  <si>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</si>
  <si>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</si>
  <si>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</si>
  <si>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</si>
  <si>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</si>
  <si>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</si>
  <si>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</si>
  <si>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</si>
  <si>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</si>
  <si>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</si>
  <si>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</si>
  <si>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</si>
  <si>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</si>
  <si>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</si>
  <si>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</si>
  <si>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</si>
  <si>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</si>
  <si>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</si>
  <si>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</si>
  <si>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</si>
  <si>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</si>
  <si>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</si>
  <si>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</si>
  <si>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</si>
  <si>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</si>
  <si>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</si>
  <si>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</si>
  <si>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</si>
  <si>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</si>
  <si>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</si>
  <si>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</si>
  <si>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</si>
  <si>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</si>
  <si>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</si>
  <si>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</si>
  <si>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</si>
  <si>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</si>
  <si>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</si>
  <si>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</si>
  <si>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</si>
  <si>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</si>
  <si>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</si>
  <si>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</si>
  <si>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</si>
  <si>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</si>
  <si>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</si>
  <si>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</si>
  <si>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</si>
  <si>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</si>
  <si>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</si>
  <si>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</si>
  <si>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</si>
  <si>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</si>
  <si>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</si>
  <si>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</si>
  <si>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</si>
  <si>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</si>
  <si>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</si>
  <si>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</si>
  <si>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</si>
  <si>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</si>
  <si>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</si>
  <si>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</si>
  <si>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</si>
  <si>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</si>
  <si>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</si>
  <si>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</si>
  <si>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</si>
  <si>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</si>
  <si>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</si>
  <si>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</si>
  <si>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</si>
  <si>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</si>
  <si>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</si>
  <si>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</si>
  <si>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</si>
  <si>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</si>
  <si>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</si>
  <si>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</si>
  <si>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</si>
  <si>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</si>
  <si>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</si>
  <si>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</si>
  <si>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</si>
  <si>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</si>
  <si>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</si>
  <si>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</si>
  <si>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</si>
  <si>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</si>
  <si>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</si>
  <si>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</si>
  <si>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</si>
  <si>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</si>
  <si>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</si>
  <si>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</si>
  <si>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</si>
  <si>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</si>
  <si>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</si>
  <si>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</si>
  <si>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</si>
  <si>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</si>
  <si>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</si>
  <si>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</si>
  <si>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</si>
  <si>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</si>
  <si>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</si>
  <si>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</si>
  <si>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</si>
  <si>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</si>
  <si>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</si>
  <si>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</si>
  <si>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</si>
  <si>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</si>
  <si>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</si>
  <si>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</si>
  <si>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</si>
  <si>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</si>
  <si>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</si>
  <si>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</si>
  <si>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</si>
  <si>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</si>
  <si>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</si>
  <si>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</si>
  <si>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</si>
  <si>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</si>
  <si>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</si>
  <si>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</si>
  <si>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</si>
  <si>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</si>
  <si>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</si>
  <si>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</si>
  <si>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</si>
  <si>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</si>
  <si>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</si>
  <si>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</si>
  <si>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</si>
  <si>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</si>
  <si>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</si>
  <si>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</si>
  <si>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</si>
  <si>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</si>
  <si>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</si>
  <si>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</si>
  <si>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</si>
  <si>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</si>
  <si>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</si>
  <si>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</si>
  <si>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</si>
  <si>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</si>
  <si>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</si>
  <si>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</si>
  <si>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</si>
  <si>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August</t>
  </si>
  <si>
    <t>Hayward</t>
  </si>
  <si>
    <t>Andrea Osgood</t>
  </si>
  <si>
    <t>Chief of Real Estate Development</t>
  </si>
  <si>
    <t>40%/60%</t>
  </si>
  <si>
    <t>Managing GP</t>
  </si>
  <si>
    <t>Eden Housing, Inc.</t>
  </si>
  <si>
    <t>22645 Grand Street</t>
  </si>
  <si>
    <t>CA</t>
  </si>
  <si>
    <t>510-247-8103</t>
  </si>
  <si>
    <t>aosgood@edenhousing.org</t>
  </si>
  <si>
    <t>Chris Arthur</t>
  </si>
  <si>
    <t>510-247-8110</t>
  </si>
  <si>
    <t>Hayward, CA, 94541</t>
  </si>
  <si>
    <t xml:space="preserve">Chris.Arthur@edenhousing.org </t>
  </si>
  <si>
    <t>Gubb and Barshay</t>
  </si>
  <si>
    <t>505 14th Street, Ste #450</t>
  </si>
  <si>
    <t>Oakland, CA 94612</t>
  </si>
  <si>
    <t>Evan Gross</t>
  </si>
  <si>
    <t>415.781.6600</t>
  </si>
  <si>
    <t>egross@gubbandbarshay.com</t>
  </si>
  <si>
    <t>Eden Housing Management, Inc.</t>
  </si>
  <si>
    <t>Hayward, CA 94541</t>
  </si>
  <si>
    <t>Kasey Archey</t>
  </si>
  <si>
    <t>510-582-1460</t>
  </si>
  <si>
    <t>kasey.archey@edenhousing.org</t>
  </si>
  <si>
    <t>Mulberry Gardens Senior, L.P.</t>
  </si>
  <si>
    <t>Mulberry Gardens Senior Apartments</t>
  </si>
  <si>
    <t>City of Riverside</t>
  </si>
  <si>
    <t>James Yerdon</t>
  </si>
  <si>
    <t>Housing Project Manager</t>
  </si>
  <si>
    <t>3900 Main St,., 5th Floor</t>
  </si>
  <si>
    <t>(909) 826-5961</t>
  </si>
  <si>
    <t>(909) 826-2233</t>
  </si>
  <si>
    <t>209-130-003</t>
  </si>
  <si>
    <t>Mulberry Gardens Senior LLC</t>
  </si>
  <si>
    <t>Tamar Saunders</t>
  </si>
  <si>
    <t>tamar.saunders@edenhousing.org</t>
  </si>
  <si>
    <t>Senior Project Developer</t>
  </si>
  <si>
    <t>510-247-8183</t>
  </si>
  <si>
    <t xml:space="preserve">Construction Lender </t>
  </si>
  <si>
    <t>Variable</t>
  </si>
  <si>
    <t>HCD LGMG</t>
  </si>
  <si>
    <t xml:space="preserve">County </t>
  </si>
  <si>
    <t xml:space="preserve">City HOME </t>
  </si>
  <si>
    <t xml:space="preserve">TUMF Fee Waiver </t>
  </si>
  <si>
    <t>Sponsor Loan - CEC Build Grant</t>
  </si>
  <si>
    <t xml:space="preserve">GP Equity </t>
  </si>
  <si>
    <t xml:space="preserve">Investor Equity </t>
  </si>
  <si>
    <t>Fixed</t>
  </si>
  <si>
    <t xml:space="preserve">Permanent Loan </t>
  </si>
  <si>
    <t xml:space="preserve">County Loan </t>
  </si>
  <si>
    <t>TUMF Fee Waiver</t>
  </si>
  <si>
    <t xml:space="preserve">Sponsor Loan - CEC Build Grant </t>
  </si>
  <si>
    <t xml:space="preserve">Deferred Developer Fee </t>
  </si>
  <si>
    <t>Air Conditioning</t>
  </si>
  <si>
    <t>Project Based Section 8</t>
  </si>
  <si>
    <t xml:space="preserve">Environmental Mitigation </t>
  </si>
  <si>
    <t>Other: Solar &amp; Battery Storage</t>
  </si>
  <si>
    <t xml:space="preserve">Other: Soft Lender Legal/Owner Legal </t>
  </si>
  <si>
    <t xml:space="preserve">Other: Perm Loan Legal </t>
  </si>
  <si>
    <t>Other: Environmental Remediation</t>
  </si>
  <si>
    <t xml:space="preserve">(specify) </t>
  </si>
  <si>
    <t>1 bedroom</t>
  </si>
  <si>
    <t xml:space="preserve">Land Donation </t>
  </si>
  <si>
    <t>Land Donation</t>
  </si>
  <si>
    <t>Inner City Infill Site</t>
  </si>
  <si>
    <t>Payroll taxes, office salaries, janitorial payroll, workers' comp, health benefits, pension</t>
  </si>
  <si>
    <t>office supplies and misc costs</t>
  </si>
  <si>
    <t>maintenance and janitor supplies, misc service and repair contracts</t>
  </si>
  <si>
    <t>Housing Authority of the County of Riverside</t>
  </si>
  <si>
    <t>Project-based vouchers (PBVs)</t>
  </si>
  <si>
    <t>LGMG</t>
  </si>
  <si>
    <t>Mulberry Gardens Senior LLC (an affliate of Eden Housing, Inc.)</t>
  </si>
  <si>
    <t>Transit - Main FS Poplar Bus Stop</t>
  </si>
  <si>
    <t>2650 Main St</t>
  </si>
  <si>
    <t>Operator</t>
  </si>
  <si>
    <t>Park - Fairmount Park</t>
  </si>
  <si>
    <t>2601 Fairmount Blvd</t>
  </si>
  <si>
    <t>Riverside, CA 92501</t>
  </si>
  <si>
    <t>Administrator</t>
  </si>
  <si>
    <t>951-565-5000</t>
  </si>
  <si>
    <t>https://www.riversidetransit.com/</t>
  </si>
  <si>
    <t>0.327 miles</t>
  </si>
  <si>
    <t>riversideca.gov</t>
  </si>
  <si>
    <t>0.580 miles</t>
  </si>
  <si>
    <t>951-826-2000</t>
  </si>
  <si>
    <t>Grocery - Maxi Foods Market</t>
  </si>
  <si>
    <t>4050 University Ave</t>
  </si>
  <si>
    <t>Manager</t>
  </si>
  <si>
    <t>UCR Health Multispecialty Center</t>
  </si>
  <si>
    <t>3390 University Ave</t>
  </si>
  <si>
    <t>https://www.ucrhealth.org/clinic/ucr-health-multispecialty-center/</t>
  </si>
  <si>
    <t>0.855 miles</t>
  </si>
  <si>
    <t xml:space="preserve">https://maxifoodsmarkets.com/ </t>
  </si>
  <si>
    <t>1.084 miles</t>
  </si>
  <si>
    <t>951-328-9252</t>
  </si>
  <si>
    <t>844-827-8000</t>
  </si>
  <si>
    <t>CVS Pharmacy y más</t>
  </si>
  <si>
    <t>3361 Market Street</t>
  </si>
  <si>
    <t>https://www.cvs.com/</t>
  </si>
  <si>
    <t>0.680 miles</t>
  </si>
  <si>
    <t>951 680-1145</t>
  </si>
  <si>
    <t>951-826-5201</t>
  </si>
  <si>
    <t>Main Library</t>
  </si>
  <si>
    <t>3900 Mission Inn Avenue</t>
  </si>
  <si>
    <t>Information Desk</t>
  </si>
  <si>
    <t>https://www.riversideca.gov/library/</t>
  </si>
  <si>
    <t>0.969 miles</t>
  </si>
  <si>
    <t>Dahlin Architecture</t>
  </si>
  <si>
    <t>501 West Broadway, Suite 1080</t>
  </si>
  <si>
    <t>San Diego, California 92101</t>
  </si>
  <si>
    <t>Alan Darpini</t>
  </si>
  <si>
    <t>Alan.Darpini@dahlingroup.com</t>
  </si>
  <si>
    <t>619-489-5206</t>
  </si>
  <si>
    <t>TBD</t>
  </si>
  <si>
    <t>Beyond Efficiency Inc.</t>
  </si>
  <si>
    <t>PO Box 9279</t>
  </si>
  <si>
    <t>Jackson, WY 83002</t>
  </si>
  <si>
    <t>Jennifer Love</t>
  </si>
  <si>
    <t xml:space="preserve">jen@beyondefficiency.us </t>
  </si>
  <si>
    <t>415.236.1333</t>
  </si>
  <si>
    <t>Kinetic Valuation Group</t>
  </si>
  <si>
    <t>PO Box 68</t>
  </si>
  <si>
    <t>Corona Del Mar, CA 92625</t>
  </si>
  <si>
    <t>Jay Wortmam</t>
  </si>
  <si>
    <t>(402) 202-0771</t>
  </si>
  <si>
    <t>jay@kvgteam.com</t>
  </si>
  <si>
    <t>Amanda Baker</t>
  </si>
  <si>
    <t>(402) 305-1693</t>
  </si>
  <si>
    <t>amanda@kvgteam.com</t>
  </si>
  <si>
    <t>Community Economics, Inc.</t>
  </si>
  <si>
    <t>538 9th Street, Suite 200</t>
  </si>
  <si>
    <t>Oakland, CA 94607</t>
  </si>
  <si>
    <t>Lisa Motoyama</t>
  </si>
  <si>
    <t>lisa@communityeconomics.org</t>
  </si>
  <si>
    <t>State of California</t>
  </si>
  <si>
    <t>Secured by Leasehold Interest</t>
  </si>
  <si>
    <t>MU-V (Mixed-Use Village)</t>
  </si>
  <si>
    <t>30 dua/2.5 FAR</t>
  </si>
  <si>
    <t>Density bonus, by-right 30 dua</t>
  </si>
  <si>
    <t>NA - by-right</t>
  </si>
  <si>
    <t>.5/unit</t>
  </si>
  <si>
    <t>State of CA 3rd Party Plan Checkers</t>
  </si>
  <si>
    <t>City HOME</t>
  </si>
  <si>
    <t>State LGMG</t>
  </si>
  <si>
    <t>James Vossoughi</t>
  </si>
  <si>
    <t>(415) 315-6708</t>
  </si>
  <si>
    <t>3900 Main Street</t>
  </si>
  <si>
    <t>Michelle Davis</t>
  </si>
  <si>
    <t>(951) 826-5743</t>
  </si>
  <si>
    <t>Soft Loan</t>
  </si>
  <si>
    <t>2020 W. El Camino Avenue, Suite 200,</t>
  </si>
  <si>
    <t>Rebecca Hersch</t>
  </si>
  <si>
    <t>(916) 263-2771</t>
  </si>
  <si>
    <t>Chris Scully</t>
  </si>
  <si>
    <t>(951) 826-5345</t>
  </si>
  <si>
    <t>Fee waiver</t>
  </si>
  <si>
    <t>707 3rd Street</t>
  </si>
  <si>
    <t>West Sacramento</t>
  </si>
  <si>
    <t>Jason Kenney</t>
  </si>
  <si>
    <t>(916) 376-5000</t>
  </si>
  <si>
    <t>Contributed/Donated Land Value</t>
  </si>
  <si>
    <t>GP Equity</t>
  </si>
  <si>
    <t>construction and perm financing</t>
  </si>
  <si>
    <t>BUILD</t>
  </si>
  <si>
    <t>Nicole Sanchez</t>
  </si>
  <si>
    <t>760-863-2825</t>
  </si>
  <si>
    <t>5555 Arlington Ave</t>
  </si>
  <si>
    <t>Susan Mills</t>
  </si>
  <si>
    <t>715 P Street</t>
  </si>
  <si>
    <t>800-555-7794</t>
  </si>
  <si>
    <t>Deferred Costs</t>
  </si>
  <si>
    <t>Sponsor Loan - CEC Build</t>
  </si>
  <si>
    <t>costs deferred until conversion</t>
  </si>
  <si>
    <t>560 Mission Street, 4th Floor</t>
  </si>
  <si>
    <t>CohnReznick</t>
  </si>
  <si>
    <t>621 Capital Mall, Suite 2150</t>
  </si>
  <si>
    <t>Sacramento, CA 95814</t>
  </si>
  <si>
    <t>Haylie McCoy</t>
  </si>
  <si>
    <t>916-930-5249</t>
  </si>
  <si>
    <t>916-442-9103</t>
  </si>
  <si>
    <t xml:space="preserve">Haylie.McCoy@CohnReznick.com </t>
  </si>
  <si>
    <t>2524 Mulberry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</si>
</sst>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53" borderId="5" xfId="0"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146050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Andrew%20Matsas\Projects\Eden%20-%20Mulberry%20Senior\Eden%20-%20Mulberry%20Gardens%20Senior%20-%209%25%2023-0731%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s>
    <sheetDataSet>
      <sheetData sheetId="0" refreshError="1"/>
      <sheetData sheetId="1">
        <row r="5">
          <cell r="C5">
            <v>531666.75881049945</v>
          </cell>
        </row>
        <row r="7">
          <cell r="C7">
            <v>3000000</v>
          </cell>
        </row>
        <row r="8">
          <cell r="C8">
            <v>1300000</v>
          </cell>
        </row>
        <row r="9">
          <cell r="C9">
            <v>6000000</v>
          </cell>
        </row>
        <row r="11">
          <cell r="C11">
            <v>1424079</v>
          </cell>
        </row>
        <row r="12">
          <cell r="C12">
            <v>381640</v>
          </cell>
          <cell r="P12">
            <v>0.3</v>
          </cell>
          <cell r="R12">
            <v>14</v>
          </cell>
          <cell r="S12">
            <v>427</v>
          </cell>
          <cell r="V12">
            <v>97</v>
          </cell>
        </row>
        <row r="13">
          <cell r="C13">
            <v>216780</v>
          </cell>
          <cell r="P13">
            <v>0.45</v>
          </cell>
          <cell r="R13">
            <v>9</v>
          </cell>
          <cell r="S13">
            <v>689</v>
          </cell>
        </row>
        <row r="14">
          <cell r="P14">
            <v>0.5</v>
          </cell>
          <cell r="R14">
            <v>35</v>
          </cell>
          <cell r="S14">
            <v>777</v>
          </cell>
        </row>
        <row r="15">
          <cell r="C15">
            <v>100</v>
          </cell>
        </row>
        <row r="16">
          <cell r="G16">
            <v>2484986.0691509205</v>
          </cell>
        </row>
        <row r="17">
          <cell r="R17">
            <v>1</v>
          </cell>
        </row>
        <row r="19">
          <cell r="U19">
            <v>5400</v>
          </cell>
        </row>
        <row r="21">
          <cell r="C21">
            <v>21256549.729783703</v>
          </cell>
          <cell r="D21">
            <v>7.7499999999999999E-2</v>
          </cell>
        </row>
        <row r="22">
          <cell r="C22">
            <v>18</v>
          </cell>
          <cell r="E22">
            <v>7</v>
          </cell>
        </row>
        <row r="26">
          <cell r="Q26">
            <v>14</v>
          </cell>
          <cell r="R26">
            <v>1678</v>
          </cell>
        </row>
        <row r="28">
          <cell r="C28">
            <v>1424079</v>
          </cell>
        </row>
        <row r="29">
          <cell r="C29">
            <v>569860</v>
          </cell>
        </row>
        <row r="31">
          <cell r="C31">
            <v>30000</v>
          </cell>
        </row>
        <row r="34">
          <cell r="C34">
            <v>285000</v>
          </cell>
        </row>
        <row r="38">
          <cell r="C38">
            <v>892748</v>
          </cell>
          <cell r="F38">
            <v>710748</v>
          </cell>
        </row>
        <row r="39">
          <cell r="U39">
            <v>6000</v>
          </cell>
        </row>
        <row r="40">
          <cell r="C40">
            <v>170818</v>
          </cell>
        </row>
        <row r="43">
          <cell r="C43">
            <v>1245764</v>
          </cell>
          <cell r="U43">
            <v>46117.142857142855</v>
          </cell>
        </row>
        <row r="44">
          <cell r="C44">
            <v>502800</v>
          </cell>
        </row>
        <row r="45">
          <cell r="C45">
            <v>1383304</v>
          </cell>
        </row>
        <row r="47">
          <cell r="U47">
            <v>29500</v>
          </cell>
        </row>
        <row r="48">
          <cell r="C48">
            <v>401120</v>
          </cell>
        </row>
        <row r="49">
          <cell r="C49">
            <v>221870</v>
          </cell>
        </row>
        <row r="50">
          <cell r="R50">
            <v>531666.75881049945</v>
          </cell>
        </row>
        <row r="51">
          <cell r="C51">
            <v>470302</v>
          </cell>
          <cell r="Q51">
            <v>30</v>
          </cell>
          <cell r="R51">
            <v>7.7499999999999999E-2</v>
          </cell>
        </row>
        <row r="53">
          <cell r="C53">
            <v>2320063.8340486838</v>
          </cell>
          <cell r="F53">
            <v>1359090.6483480458</v>
          </cell>
        </row>
        <row r="54">
          <cell r="C54">
            <v>60796</v>
          </cell>
        </row>
        <row r="55">
          <cell r="C55">
            <v>257565.49729783702</v>
          </cell>
        </row>
        <row r="58">
          <cell r="C58">
            <v>839136</v>
          </cell>
        </row>
        <row r="59">
          <cell r="C59">
            <v>65000</v>
          </cell>
        </row>
        <row r="62">
          <cell r="C62">
            <v>30316.667588104996</v>
          </cell>
        </row>
        <row r="64">
          <cell r="C64">
            <v>20000</v>
          </cell>
        </row>
        <row r="65">
          <cell r="C65">
            <v>20000</v>
          </cell>
        </row>
        <row r="69">
          <cell r="C69">
            <v>60000</v>
          </cell>
        </row>
        <row r="70">
          <cell r="C70">
            <v>20000</v>
          </cell>
        </row>
        <row r="71">
          <cell r="C71">
            <v>85000</v>
          </cell>
        </row>
        <row r="74">
          <cell r="C74">
            <v>293729.57142857142</v>
          </cell>
        </row>
        <row r="79">
          <cell r="C79">
            <v>10000</v>
          </cell>
        </row>
        <row r="80">
          <cell r="C80">
            <v>2399281.8000000003</v>
          </cell>
        </row>
        <row r="82">
          <cell r="C82">
            <v>125780</v>
          </cell>
        </row>
        <row r="83">
          <cell r="C83">
            <v>82080</v>
          </cell>
        </row>
        <row r="84">
          <cell r="C84">
            <v>1143995</v>
          </cell>
          <cell r="F84">
            <v>762355</v>
          </cell>
        </row>
        <row r="85">
          <cell r="C85">
            <v>183351</v>
          </cell>
        </row>
        <row r="86">
          <cell r="C86">
            <v>5500</v>
          </cell>
        </row>
        <row r="87">
          <cell r="C87">
            <v>116000</v>
          </cell>
        </row>
        <row r="89">
          <cell r="C89">
            <v>100000</v>
          </cell>
        </row>
        <row r="91">
          <cell r="C91">
            <v>320000</v>
          </cell>
        </row>
        <row r="95">
          <cell r="C95">
            <v>2200000</v>
          </cell>
        </row>
        <row r="120">
          <cell r="G120">
            <v>0.92183999999999999</v>
          </cell>
        </row>
        <row r="126">
          <cell r="D126">
            <v>0.8</v>
          </cell>
        </row>
        <row r="139">
          <cell r="D139">
            <v>762355</v>
          </cell>
        </row>
        <row r="146">
          <cell r="D146">
            <v>539956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59" workbookViewId="0">
      <selection activeCell="E26" sqref="E26:AK26"/>
    </sheetView>
  </sheetViews>
  <sheetFormatPr defaultColWidth="0" defaultRowHeight="12.75" zeroHeight="1"/>
  <cols>
    <col min="1" max="38" width="2.42578125" customWidth="1"/>
    <col min="39" max="16384" width="8.85546875" hidden="1"/>
  </cols>
  <sheetData>
    <row r="1" spans="1:38">
      <c r="A1" s="965" t="s">
        <v>1956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2271</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2337</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2110</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1337</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9" t="s">
        <v>1757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2273</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1" t="s">
        <v>2274</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2275</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1760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1759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9" t="s">
        <v>1768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1769</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6" t="s">
        <v>1774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9" t="s">
        <v>1778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9" t="s">
        <v>1779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259</v>
      </c>
      <c r="G235" s="5"/>
      <c r="H235" s="5"/>
      <c r="I235" s="5"/>
      <c r="M235" s="5"/>
      <c r="N235" s="5"/>
      <c r="O235" s="5"/>
      <c r="P235" s="5"/>
      <c r="Q235" s="5"/>
      <c r="R235" s="5"/>
      <c r="S235" s="5"/>
    </row>
    <row r="236" spans="1:38">
      <c r="B236" s="5"/>
      <c r="C236" s="5"/>
      <c r="F236" s="5" t="s">
        <v>860</v>
      </c>
      <c r="G236" s="969" t="s">
        <v>1781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1" t="s">
        <v>1894</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942</v>
      </c>
      <c r="F348" s="969" t="s">
        <v>1895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9" t="s">
        <v>1896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1891</v>
      </c>
    </row>
    <row r="366" spans="1:38" s="974" customFormat="1">
      <c r="A366"/>
      <c r="B366" s="3"/>
      <c r="C366"/>
      <c r="D366"/>
    </row>
    <row r="367" spans="1:38">
      <c r="B367" s="3"/>
      <c r="F367" s="972" t="s">
        <v>1892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88" workbookViewId="0">
      <selection activeCell="G46" sqref="G4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6" t="s">
        <v>1948</v>
      </c>
      <c r="B1" s="1926"/>
      <c r="C1" s="1926"/>
      <c r="D1" s="1926"/>
      <c r="E1" s="1926"/>
      <c r="F1" s="1926"/>
      <c r="G1" s="1926"/>
      <c r="H1" s="1926"/>
      <c r="I1" s="1926"/>
      <c r="J1" s="1926"/>
      <c r="K1" s="1926"/>
      <c r="L1" s="1926"/>
      <c r="M1" s="1926"/>
      <c r="N1" s="1926"/>
      <c r="O1" s="1926"/>
      <c r="P1" s="1926"/>
      <c r="Q1" s="1926"/>
      <c r="R1" s="1926"/>
      <c r="S1" s="1926"/>
    </row>
    <row r="2" spans="1:19" ht="15" customHeight="1">
      <c r="A2" s="1926"/>
      <c r="B2" s="1926"/>
      <c r="C2" s="1926"/>
      <c r="D2" s="1926"/>
      <c r="E2" s="1926"/>
      <c r="F2" s="1926"/>
      <c r="G2" s="1926"/>
      <c r="H2" s="1926"/>
      <c r="I2" s="1926"/>
      <c r="J2" s="1926"/>
      <c r="K2" s="1926"/>
      <c r="L2" s="1926"/>
      <c r="M2" s="1926"/>
      <c r="N2" s="1926"/>
      <c r="O2" s="1926"/>
      <c r="P2" s="1926"/>
      <c r="Q2" s="1926"/>
      <c r="R2" s="1926"/>
      <c r="S2" s="1926"/>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1" t="s">
        <v>2236</v>
      </c>
      <c r="C4" s="1911"/>
      <c r="D4" s="1911"/>
      <c r="E4" s="1911"/>
      <c r="F4" s="1911"/>
      <c r="G4" s="1911"/>
      <c r="H4" s="1911"/>
      <c r="I4" s="1911"/>
      <c r="J4" s="1911"/>
      <c r="K4" s="1911"/>
      <c r="L4" s="1911"/>
      <c r="M4" s="1911"/>
      <c r="N4" s="1911"/>
      <c r="O4" s="1911"/>
      <c r="P4" s="1911"/>
      <c r="Q4" s="1911"/>
      <c r="R4" s="1911"/>
    </row>
    <row r="5" spans="1:19" ht="15" customHeight="1">
      <c r="A5" s="514"/>
      <c r="B5" s="1911"/>
      <c r="C5" s="1911"/>
      <c r="D5" s="1911"/>
      <c r="E5" s="1911"/>
      <c r="F5" s="1911"/>
      <c r="G5" s="1911"/>
      <c r="H5" s="1911"/>
      <c r="I5" s="1911"/>
      <c r="J5" s="1911"/>
      <c r="K5" s="1911"/>
      <c r="L5" s="1911"/>
      <c r="M5" s="1911"/>
      <c r="N5" s="1911"/>
      <c r="O5" s="1911"/>
      <c r="P5" s="1911"/>
      <c r="Q5" s="1911"/>
      <c r="R5" s="1911"/>
    </row>
    <row r="6" spans="1:19" ht="15" customHeight="1">
      <c r="A6" s="514"/>
      <c r="B6" s="1911"/>
      <c r="C6" s="1911"/>
      <c r="D6" s="1911"/>
      <c r="E6" s="1911"/>
      <c r="F6" s="1911"/>
      <c r="G6" s="1911"/>
      <c r="H6" s="1911"/>
      <c r="I6" s="1911"/>
      <c r="J6" s="1911"/>
      <c r="K6" s="1911"/>
      <c r="L6" s="1911"/>
      <c r="M6" s="1911"/>
      <c r="N6" s="1911"/>
      <c r="O6" s="1911"/>
      <c r="P6" s="1911"/>
      <c r="Q6" s="1911"/>
      <c r="R6" s="1911"/>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1" t="s">
        <v>2358</v>
      </c>
      <c r="C8" s="1911"/>
      <c r="D8" s="1911"/>
      <c r="E8" s="1911"/>
      <c r="F8" s="1911"/>
      <c r="G8" s="1911"/>
      <c r="H8" s="1911"/>
      <c r="I8" s="1911"/>
      <c r="J8" s="1911"/>
      <c r="K8" s="1911"/>
      <c r="L8" s="1911"/>
      <c r="M8" s="1911"/>
      <c r="N8" s="1911"/>
      <c r="O8" s="1911"/>
      <c r="P8" s="1911"/>
      <c r="Q8" s="1911"/>
      <c r="R8" s="1911"/>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1" t="s">
        <v>2324</v>
      </c>
      <c r="C10" s="1911"/>
      <c r="D10" s="1911"/>
      <c r="E10" s="1911"/>
      <c r="F10" s="1911"/>
      <c r="G10" s="1911"/>
      <c r="H10" s="1911"/>
      <c r="I10" s="1911"/>
      <c r="J10" s="1911"/>
      <c r="K10" s="1911"/>
      <c r="L10" s="1911"/>
      <c r="M10" s="1911"/>
      <c r="N10" s="1911"/>
      <c r="O10" s="1911"/>
      <c r="P10" s="1911"/>
      <c r="Q10" s="1911"/>
      <c r="R10" s="1911"/>
    </row>
    <row r="11" spans="1:19" ht="29.25" customHeight="1">
      <c r="A11" s="514"/>
      <c r="B11" s="1911"/>
      <c r="C11" s="1911"/>
      <c r="D11" s="1911"/>
      <c r="E11" s="1911"/>
      <c r="F11" s="1911"/>
      <c r="G11" s="1911"/>
      <c r="H11" s="1911"/>
      <c r="I11" s="1911"/>
      <c r="J11" s="1911"/>
      <c r="K11" s="1911"/>
      <c r="L11" s="1911"/>
      <c r="M11" s="1911"/>
      <c r="N11" s="1911"/>
      <c r="O11" s="1911"/>
      <c r="P11" s="1911"/>
      <c r="Q11" s="1911"/>
      <c r="R11" s="1911"/>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1" t="s">
        <v>2237</v>
      </c>
      <c r="C13" s="1911"/>
      <c r="D13" s="1911"/>
      <c r="E13" s="1911"/>
      <c r="F13" s="1911"/>
      <c r="G13" s="1911"/>
      <c r="H13" s="1911"/>
      <c r="I13" s="1911"/>
      <c r="J13" s="1911"/>
      <c r="K13" s="1911"/>
      <c r="L13" s="1911"/>
      <c r="M13" s="1911"/>
      <c r="N13" s="1911"/>
      <c r="O13" s="1911"/>
      <c r="P13" s="1911"/>
      <c r="Q13" s="1911"/>
      <c r="R13" s="1911"/>
    </row>
    <row r="14" spans="1:19" ht="15" customHeight="1">
      <c r="A14" s="514"/>
      <c r="B14" s="1911"/>
      <c r="C14" s="1911"/>
      <c r="D14" s="1911"/>
      <c r="E14" s="1911"/>
      <c r="F14" s="1911"/>
      <c r="G14" s="1911"/>
      <c r="H14" s="1911"/>
      <c r="I14" s="1911"/>
      <c r="J14" s="1911"/>
      <c r="K14" s="1911"/>
      <c r="L14" s="1911"/>
      <c r="M14" s="1911"/>
      <c r="N14" s="1911"/>
      <c r="O14" s="1911"/>
      <c r="P14" s="1911"/>
      <c r="Q14" s="1911"/>
      <c r="R14" s="1911"/>
    </row>
    <row r="15" spans="1:19" ht="15" customHeight="1">
      <c r="A15" s="514"/>
      <c r="B15" s="1911"/>
      <c r="C15" s="1911"/>
      <c r="D15" s="1911"/>
      <c r="E15" s="1911"/>
      <c r="F15" s="1911"/>
      <c r="G15" s="1911"/>
      <c r="H15" s="1911"/>
      <c r="I15" s="1911"/>
      <c r="J15" s="1911"/>
      <c r="K15" s="1911"/>
      <c r="L15" s="1911"/>
      <c r="M15" s="1911"/>
      <c r="N15" s="1911"/>
      <c r="O15" s="1911"/>
      <c r="P15" s="1911"/>
      <c r="Q15" s="1911"/>
      <c r="R15" s="1911"/>
    </row>
    <row r="16" spans="1:19" ht="15" customHeight="1">
      <c r="A16" s="514"/>
      <c r="B16" s="1911"/>
      <c r="C16" s="1911"/>
      <c r="D16" s="1911"/>
      <c r="E16" s="1911"/>
      <c r="F16" s="1911"/>
      <c r="G16" s="1911"/>
      <c r="H16" s="1911"/>
      <c r="I16" s="1911"/>
      <c r="J16" s="1911"/>
      <c r="K16" s="1911"/>
      <c r="L16" s="1911"/>
      <c r="M16" s="1911"/>
      <c r="N16" s="1911"/>
      <c r="O16" s="1911"/>
      <c r="P16" s="1911"/>
      <c r="Q16" s="1911"/>
      <c r="R16" s="1911"/>
    </row>
    <row r="17" spans="1:18" ht="15" customHeight="1">
      <c r="A17" s="514"/>
      <c r="B17" s="1911"/>
      <c r="C17" s="1911"/>
      <c r="D17" s="1911"/>
      <c r="E17" s="1911"/>
      <c r="F17" s="1911"/>
      <c r="G17" s="1911"/>
      <c r="H17" s="1911"/>
      <c r="I17" s="1911"/>
      <c r="J17" s="1911"/>
      <c r="K17" s="1911"/>
      <c r="L17" s="1911"/>
      <c r="M17" s="1911"/>
      <c r="N17" s="1911"/>
      <c r="O17" s="1911"/>
      <c r="P17" s="1911"/>
      <c r="Q17" s="1911"/>
      <c r="R17" s="1911"/>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1" t="s">
        <v>1875</v>
      </c>
      <c r="C19" s="1911"/>
      <c r="D19" s="1911"/>
      <c r="E19" s="1911"/>
      <c r="F19" s="1911"/>
      <c r="G19" s="1911"/>
      <c r="H19" s="1911"/>
      <c r="I19" s="1911"/>
      <c r="J19" s="1911"/>
      <c r="K19" s="1911"/>
      <c r="L19" s="1911"/>
      <c r="M19" s="1911"/>
      <c r="N19" s="1911"/>
      <c r="O19" s="1911"/>
      <c r="P19" s="1911"/>
      <c r="Q19" s="1911"/>
      <c r="R19" s="1911"/>
    </row>
    <row r="20" spans="1:18" ht="15" customHeight="1">
      <c r="A20" s="514"/>
      <c r="B20" s="1911"/>
      <c r="C20" s="1911"/>
      <c r="D20" s="1911"/>
      <c r="E20" s="1911"/>
      <c r="F20" s="1911"/>
      <c r="G20" s="1911"/>
      <c r="H20" s="1911"/>
      <c r="I20" s="1911"/>
      <c r="J20" s="1911"/>
      <c r="K20" s="1911"/>
      <c r="L20" s="1911"/>
      <c r="M20" s="1911"/>
      <c r="N20" s="1911"/>
      <c r="O20" s="1911"/>
      <c r="P20" s="1911"/>
      <c r="Q20" s="1911"/>
      <c r="R20" s="1911"/>
    </row>
    <row r="21" spans="1:18" ht="15" customHeight="1">
      <c r="A21" s="514"/>
      <c r="B21" s="1911"/>
      <c r="C21" s="1911"/>
      <c r="D21" s="1911"/>
      <c r="E21" s="1911"/>
      <c r="F21" s="1911"/>
      <c r="G21" s="1911"/>
      <c r="H21" s="1911"/>
      <c r="I21" s="1911"/>
      <c r="J21" s="1911"/>
      <c r="K21" s="1911"/>
      <c r="L21" s="1911"/>
      <c r="M21" s="1911"/>
      <c r="N21" s="1911"/>
      <c r="O21" s="1911"/>
      <c r="P21" s="1911"/>
      <c r="Q21" s="1911"/>
      <c r="R21" s="1911"/>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1" t="s">
        <v>1876</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1" t="s">
        <v>1765</v>
      </c>
      <c r="C26" s="1911"/>
      <c r="D26" s="1911"/>
      <c r="E26" s="1911"/>
      <c r="F26" s="1911"/>
      <c r="G26" s="1911"/>
      <c r="H26" s="1911"/>
      <c r="I26" s="1911"/>
      <c r="J26" s="1911"/>
      <c r="K26" s="1911"/>
      <c r="L26" s="1911"/>
      <c r="M26" s="1911"/>
      <c r="N26" s="1911"/>
      <c r="O26" s="1911"/>
      <c r="P26" s="1911"/>
      <c r="Q26" s="1911"/>
      <c r="R26" s="1911"/>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7" t="s">
        <v>1677</v>
      </c>
      <c r="C29" s="1937"/>
      <c r="D29" s="1937"/>
      <c r="E29" s="1937"/>
      <c r="F29" s="1937"/>
      <c r="G29" s="1937"/>
      <c r="H29" s="380"/>
      <c r="I29" s="380"/>
      <c r="J29" s="380"/>
      <c r="K29" s="380"/>
      <c r="L29" s="380"/>
      <c r="M29" s="380"/>
      <c r="N29" s="380"/>
      <c r="O29" s="1935" t="s">
        <v>1686</v>
      </c>
    </row>
    <row r="30" spans="1:18" ht="15" customHeight="1">
      <c r="B30" s="1937"/>
      <c r="C30" s="1937"/>
      <c r="D30" s="1937"/>
      <c r="E30" s="1937"/>
      <c r="F30" s="1937"/>
      <c r="G30" s="1937"/>
      <c r="H30" s="380"/>
      <c r="I30" s="380"/>
      <c r="J30" s="380"/>
      <c r="K30" s="380"/>
      <c r="L30" s="380"/>
      <c r="M30" s="380"/>
      <c r="N30" s="380"/>
      <c r="O30" s="1935"/>
    </row>
    <row r="31" spans="1:18" ht="15" customHeight="1">
      <c r="B31" s="1937"/>
      <c r="C31" s="1937"/>
      <c r="D31" s="1937"/>
      <c r="E31" s="1937"/>
      <c r="F31" s="1937"/>
      <c r="G31" s="1937"/>
      <c r="H31" s="380"/>
      <c r="I31" s="380"/>
      <c r="J31" s="380"/>
      <c r="K31" s="380"/>
      <c r="L31" s="380"/>
      <c r="M31" s="380"/>
      <c r="N31" s="380"/>
      <c r="O31" s="1935"/>
    </row>
    <row r="32" spans="1:18" ht="15" customHeight="1">
      <c r="B32" s="1938"/>
      <c r="C32" s="1938"/>
      <c r="D32" s="1938"/>
      <c r="E32" s="1938"/>
      <c r="F32" s="1938"/>
      <c r="G32" s="1938"/>
      <c r="I32" s="1904" t="s">
        <v>149</v>
      </c>
      <c r="J32" s="1905" t="s">
        <v>1034</v>
      </c>
      <c r="K32" s="1939">
        <v>1</v>
      </c>
      <c r="M32" s="516"/>
      <c r="O32" s="1936"/>
      <c r="P32" s="1905" t="s">
        <v>2033</v>
      </c>
    </row>
    <row r="33" spans="1:21" ht="15" customHeight="1">
      <c r="B33" s="1940" t="s">
        <v>1681</v>
      </c>
      <c r="C33" s="1940"/>
      <c r="D33" s="1940"/>
      <c r="E33" s="1940"/>
      <c r="F33" s="1940"/>
      <c r="G33" s="1940"/>
      <c r="I33" s="1904"/>
      <c r="J33" s="1905"/>
      <c r="K33" s="1939"/>
      <c r="M33" s="517"/>
      <c r="O33" s="1940" t="s">
        <v>1681</v>
      </c>
      <c r="P33" s="1905"/>
    </row>
    <row r="34" spans="1:21" ht="15" customHeight="1">
      <c r="B34" s="1904"/>
      <c r="C34" s="1904"/>
      <c r="D34" s="1904"/>
      <c r="E34" s="1904"/>
      <c r="F34" s="1904"/>
      <c r="G34" s="1904"/>
      <c r="I34" s="655"/>
      <c r="J34" s="654"/>
      <c r="K34" s="534"/>
      <c r="M34" s="517"/>
      <c r="O34" s="1904"/>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7" t="s">
        <v>1670</v>
      </c>
      <c r="C37" s="1927"/>
      <c r="D37" s="1927"/>
      <c r="E37" s="1927"/>
      <c r="F37" s="523"/>
      <c r="G37" s="523"/>
      <c r="H37" s="524"/>
      <c r="I37" s="380"/>
      <c r="J37" s="380"/>
      <c r="L37" s="536"/>
      <c r="M37" s="536"/>
      <c r="N37" s="536"/>
      <c r="O37" s="536"/>
      <c r="P37" s="536"/>
      <c r="Q37" s="536"/>
      <c r="R37" s="536"/>
      <c r="S37" s="536"/>
    </row>
    <row r="38" spans="1:21" ht="15" customHeight="1">
      <c r="B38" s="1914" t="s">
        <v>1687</v>
      </c>
      <c r="C38" s="1914"/>
      <c r="D38" s="1914"/>
      <c r="E38" s="1914"/>
      <c r="F38" s="657"/>
      <c r="G38" s="525">
        <f>D110</f>
        <v>1530692.5304696744</v>
      </c>
      <c r="H38" s="388"/>
      <c r="I38" s="526"/>
      <c r="J38" s="388"/>
      <c r="K38" s="1923" t="s">
        <v>2354</v>
      </c>
      <c r="L38" s="1923"/>
      <c r="M38" s="1923"/>
      <c r="N38" s="1923"/>
      <c r="O38" s="1923"/>
      <c r="P38" s="1923"/>
      <c r="Q38" s="1923"/>
      <c r="R38" s="1923"/>
      <c r="S38" s="1923"/>
    </row>
    <row r="39" spans="1:21" ht="15" customHeight="1">
      <c r="B39" s="1922" t="s">
        <v>1334</v>
      </c>
      <c r="C39" s="1922"/>
      <c r="D39" s="1922"/>
      <c r="E39" s="1922"/>
      <c r="F39" s="657"/>
      <c r="G39" s="639">
        <f>+[1]EVERYTHING!$C$28</f>
        <v>1424079</v>
      </c>
      <c r="H39" s="388"/>
      <c r="I39" s="526"/>
      <c r="J39" s="388"/>
      <c r="K39" s="1923"/>
      <c r="L39" s="1923"/>
      <c r="M39" s="1923"/>
      <c r="N39" s="1923"/>
      <c r="O39" s="1923"/>
      <c r="P39" s="1923"/>
      <c r="Q39" s="1923"/>
      <c r="R39" s="1923"/>
      <c r="S39" s="1923"/>
    </row>
    <row r="40" spans="1:21" ht="15" customHeight="1">
      <c r="B40" s="1922" t="s">
        <v>1335</v>
      </c>
      <c r="C40" s="1922"/>
      <c r="D40" s="1922"/>
      <c r="E40" s="1922"/>
      <c r="F40" s="657"/>
      <c r="G40" s="639">
        <f>+[1]EVERYTHING!$C$12</f>
        <v>381640</v>
      </c>
      <c r="H40" s="388"/>
      <c r="I40" s="526"/>
      <c r="J40" s="388"/>
      <c r="K40" s="1923"/>
      <c r="L40" s="1923"/>
      <c r="M40" s="1923"/>
      <c r="N40" s="1923"/>
      <c r="O40" s="1923"/>
      <c r="P40" s="1923"/>
      <c r="Q40" s="1923"/>
      <c r="R40" s="1923"/>
      <c r="S40" s="1923"/>
    </row>
    <row r="41" spans="1:21" ht="15" customHeight="1">
      <c r="B41" s="1932" t="s">
        <v>1682</v>
      </c>
      <c r="C41" s="1932"/>
      <c r="D41" s="1932"/>
      <c r="E41" s="1932"/>
      <c r="F41" s="657"/>
      <c r="G41" s="388"/>
      <c r="H41" s="388"/>
      <c r="I41" s="526"/>
      <c r="J41" s="388"/>
      <c r="K41" s="1916" t="s">
        <v>132</v>
      </c>
      <c r="L41" s="1916"/>
      <c r="M41" s="1916"/>
      <c r="N41" s="1916"/>
      <c r="O41" s="1916"/>
      <c r="P41" s="1916"/>
      <c r="Q41" s="1916"/>
      <c r="R41" s="1916"/>
      <c r="S41" s="1916"/>
    </row>
    <row r="42" spans="1:21" ht="15" customHeight="1">
      <c r="B42" s="641" t="s">
        <v>2401</v>
      </c>
      <c r="C42" s="641"/>
      <c r="D42" s="635"/>
      <c r="E42" s="659">
        <f>+[1]EVERYTHING!$C$9</f>
        <v>6000000</v>
      </c>
      <c r="F42" s="657"/>
      <c r="G42" s="388"/>
      <c r="H42" s="388"/>
      <c r="I42" s="526"/>
      <c r="J42" s="388"/>
      <c r="K42" s="1921"/>
      <c r="L42" s="1921"/>
      <c r="M42" s="1921"/>
      <c r="N42" s="1921"/>
      <c r="O42" s="1921"/>
      <c r="Q42" s="1901"/>
      <c r="R42" s="1901"/>
      <c r="U42" s="761" t="s">
        <v>132</v>
      </c>
    </row>
    <row r="43" spans="1:21" ht="15" customHeight="1">
      <c r="B43" s="641" t="s">
        <v>2402</v>
      </c>
      <c r="C43" s="641"/>
      <c r="D43" s="511"/>
      <c r="E43" s="659">
        <f>+[1]EVERYTHING!$C$8</f>
        <v>1300000</v>
      </c>
      <c r="F43" s="657"/>
      <c r="G43" s="388"/>
      <c r="H43" s="388"/>
      <c r="I43" s="526"/>
      <c r="J43" s="388"/>
      <c r="L43" s="388"/>
      <c r="M43" s="380"/>
      <c r="N43" s="380"/>
      <c r="O43" s="380"/>
      <c r="Q43" s="527"/>
      <c r="R43" s="527"/>
      <c r="U43" s="761" t="s">
        <v>2353</v>
      </c>
    </row>
    <row r="44" spans="1:21" ht="15" customHeight="1">
      <c r="B44" s="641" t="s">
        <v>2403</v>
      </c>
      <c r="C44" s="641"/>
      <c r="D44" s="511"/>
      <c r="E44" s="659">
        <f>+[1]EVERYTHING!$C$7</f>
        <v>3000000</v>
      </c>
      <c r="F44" s="657"/>
      <c r="G44" s="388"/>
      <c r="H44" s="388"/>
      <c r="I44" s="526"/>
      <c r="K44" s="387" t="s">
        <v>1933</v>
      </c>
      <c r="Q44" s="1901"/>
      <c r="R44" s="1901"/>
    </row>
    <row r="45" spans="1:21" ht="15" customHeight="1">
      <c r="B45" s="641" t="s">
        <v>2405</v>
      </c>
      <c r="C45" s="641"/>
      <c r="D45" s="511"/>
      <c r="E45" s="659">
        <f>+[1]EVERYTHING!$C$13</f>
        <v>216780</v>
      </c>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8" t="s">
        <v>1929</v>
      </c>
      <c r="L46" s="1898"/>
      <c r="M46" s="1898"/>
      <c r="N46" s="1898"/>
      <c r="O46" s="1898"/>
      <c r="Q46" s="1896"/>
      <c r="R46" s="1896"/>
    </row>
    <row r="47" spans="1:21" ht="15" customHeight="1">
      <c r="B47" s="641"/>
      <c r="C47" s="641"/>
      <c r="D47" s="511"/>
      <c r="E47" s="659"/>
      <c r="F47" s="657"/>
      <c r="G47" s="388"/>
      <c r="H47" s="388"/>
      <c r="I47" s="526"/>
      <c r="J47" s="388"/>
      <c r="K47" s="1897" t="s">
        <v>1930</v>
      </c>
      <c r="L47" s="1897"/>
      <c r="M47" s="1897"/>
      <c r="N47" s="1897"/>
      <c r="O47" s="1897"/>
      <c r="Q47" s="1934"/>
      <c r="R47" s="1934"/>
    </row>
    <row r="48" spans="1:21" ht="15" customHeight="1">
      <c r="B48" s="641"/>
      <c r="C48" s="641"/>
      <c r="D48" s="511"/>
      <c r="E48" s="659"/>
      <c r="F48" s="657"/>
      <c r="G48" s="388"/>
      <c r="H48" s="388"/>
      <c r="I48" s="526"/>
      <c r="J48" s="388"/>
      <c r="K48" s="1933" t="s">
        <v>1931</v>
      </c>
      <c r="L48" s="1933"/>
      <c r="M48" s="1933"/>
      <c r="N48" s="1933"/>
      <c r="O48" s="1933"/>
      <c r="Q48" s="1898">
        <f>Q46+Q47</f>
        <v>0</v>
      </c>
      <c r="R48" s="1898"/>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4" t="s">
        <v>1678</v>
      </c>
      <c r="C52" s="1914"/>
      <c r="D52" s="1914"/>
      <c r="E52" s="1914"/>
      <c r="F52" s="657"/>
      <c r="G52" s="525">
        <f>SUM(E42:E49)-ABS(E50)-ABS(E51)</f>
        <v>10516780</v>
      </c>
      <c r="H52" s="388"/>
      <c r="I52" s="526"/>
      <c r="J52" s="388"/>
    </row>
    <row r="53" spans="1:29" ht="15" customHeight="1">
      <c r="C53" s="530"/>
      <c r="D53" s="530" t="s">
        <v>914</v>
      </c>
      <c r="E53" s="530"/>
      <c r="F53" s="530"/>
      <c r="G53" s="531">
        <f>SUM(G38:G40)+G52</f>
        <v>13853191.530469675</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3" t="s">
        <v>1315</v>
      </c>
      <c r="C56" s="1913"/>
      <c r="D56" s="657"/>
      <c r="E56" s="657"/>
      <c r="F56" s="657"/>
      <c r="G56" s="657"/>
      <c r="H56" s="657"/>
      <c r="I56" s="657"/>
      <c r="J56" s="657"/>
      <c r="K56" s="657"/>
      <c r="L56" s="657"/>
      <c r="M56" s="657"/>
      <c r="N56" s="657"/>
      <c r="O56" s="657"/>
      <c r="P56" s="657"/>
      <c r="U56" s="962" t="s">
        <v>1870</v>
      </c>
      <c r="AC56" s="963">
        <v>0.2</v>
      </c>
    </row>
    <row r="57" spans="1:29" ht="15" customHeight="1">
      <c r="A57" s="528"/>
      <c r="B57" s="1912" t="s">
        <v>1672</v>
      </c>
      <c r="C57" s="1912"/>
      <c r="D57" s="1912"/>
      <c r="E57" s="1912"/>
      <c r="F57" s="1912"/>
      <c r="G57" s="1912"/>
      <c r="H57" s="1912"/>
      <c r="I57" s="1912"/>
      <c r="J57" s="1912"/>
      <c r="K57" s="1912"/>
      <c r="L57" s="1912"/>
      <c r="M57" s="1912"/>
      <c r="N57" s="1912"/>
      <c r="O57" s="1912"/>
      <c r="P57" s="657"/>
      <c r="U57" s="962" t="s">
        <v>1871</v>
      </c>
      <c r="AC57" s="963">
        <v>0.1</v>
      </c>
    </row>
    <row r="58" spans="1:29" ht="15" customHeight="1">
      <c r="B58" s="1927" t="s">
        <v>2352</v>
      </c>
      <c r="C58" s="1928"/>
      <c r="D58" s="1928"/>
      <c r="E58" s="1928"/>
      <c r="F58" s="533"/>
      <c r="G58" s="533"/>
      <c r="H58" s="523"/>
      <c r="I58" s="523"/>
      <c r="J58" s="1929">
        <f>('Sources and Uses Budget'!D104+Q47)/('Sources and Uses Budget'!B104+Q48)</f>
        <v>0</v>
      </c>
      <c r="K58" s="1930"/>
      <c r="L58" s="1930"/>
      <c r="M58" s="1930"/>
      <c r="N58" s="1931"/>
      <c r="O58" s="523"/>
      <c r="P58" s="523"/>
      <c r="U58" s="962" t="s">
        <v>1872</v>
      </c>
      <c r="AC58" s="963">
        <v>0.1</v>
      </c>
    </row>
    <row r="59" spans="1:29" ht="15" customHeight="1">
      <c r="B59" s="1911" t="s">
        <v>2238</v>
      </c>
      <c r="C59" s="1911"/>
      <c r="D59" s="1911"/>
      <c r="E59" s="1911"/>
      <c r="F59" s="1911"/>
      <c r="G59" s="1911"/>
      <c r="H59" s="1911"/>
      <c r="I59" s="1911"/>
      <c r="J59" s="1911"/>
      <c r="K59" s="1911"/>
      <c r="L59" s="1911"/>
      <c r="M59" s="1911"/>
      <c r="N59" s="1911"/>
      <c r="O59" s="1911"/>
      <c r="P59" s="523"/>
      <c r="U59" s="962" t="s">
        <v>1873</v>
      </c>
      <c r="AC59" s="963">
        <v>0.05</v>
      </c>
    </row>
    <row r="60" spans="1:29" ht="15" customHeight="1">
      <c r="B60" s="1911"/>
      <c r="C60" s="1911"/>
      <c r="D60" s="1911"/>
      <c r="E60" s="1911"/>
      <c r="F60" s="1911"/>
      <c r="G60" s="1911"/>
      <c r="H60" s="1911"/>
      <c r="I60" s="1911"/>
      <c r="J60" s="1911"/>
      <c r="K60" s="1911"/>
      <c r="L60" s="1911"/>
      <c r="M60" s="1911"/>
      <c r="N60" s="1911"/>
      <c r="O60" s="1911"/>
      <c r="P60" s="523"/>
      <c r="AC60" s="964"/>
    </row>
    <row r="61" spans="1:29" ht="15" customHeight="1">
      <c r="B61" s="1912" t="s">
        <v>1673</v>
      </c>
      <c r="C61" s="1912"/>
      <c r="D61" s="1912"/>
      <c r="E61" s="1912"/>
      <c r="F61" s="1912"/>
      <c r="G61" s="1912"/>
      <c r="H61" s="1912"/>
      <c r="I61" s="1912"/>
      <c r="J61" s="1912"/>
      <c r="K61" s="1912"/>
      <c r="L61" s="1912"/>
      <c r="M61" s="1912"/>
      <c r="N61" s="1912"/>
      <c r="O61" s="191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7" t="s">
        <v>2355</v>
      </c>
      <c r="K63" s="1918"/>
      <c r="L63" s="1918"/>
      <c r="M63" s="1918"/>
      <c r="N63" s="1918"/>
      <c r="O63" s="1918"/>
      <c r="P63" s="1918"/>
      <c r="Q63" s="1918"/>
      <c r="R63" s="1918"/>
    </row>
    <row r="64" spans="1:29" ht="15" customHeight="1" thickBot="1">
      <c r="B64" s="1913" t="s">
        <v>1683</v>
      </c>
      <c r="C64" s="1913"/>
      <c r="D64" s="380"/>
      <c r="F64" s="380"/>
      <c r="G64" s="530" t="s">
        <v>1932</v>
      </c>
      <c r="H64" s="380"/>
      <c r="I64" s="765"/>
      <c r="J64" s="1919"/>
      <c r="K64" s="1920"/>
      <c r="L64" s="1920"/>
      <c r="M64" s="1920"/>
      <c r="N64" s="1920"/>
      <c r="O64" s="1920"/>
      <c r="P64" s="1920"/>
      <c r="Q64" s="1920"/>
      <c r="R64" s="1920"/>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19"/>
      <c r="K65" s="1920"/>
      <c r="L65" s="1920"/>
      <c r="M65" s="1920"/>
      <c r="N65" s="1920"/>
      <c r="O65" s="1920"/>
      <c r="P65" s="1920"/>
      <c r="Q65" s="1920"/>
      <c r="R65" s="1920"/>
      <c r="U65" s="961">
        <f>IF(J67="Non-rural project, Census Tract is Highest Resource (20 percentage points)",AC56,0)</f>
        <v>0</v>
      </c>
    </row>
    <row r="66" spans="1:22" ht="15" customHeight="1" thickBot="1">
      <c r="B66" s="535" t="s">
        <v>1753</v>
      </c>
      <c r="C66" s="645">
        <f>Application!AG430-Application!AG431</f>
        <v>59</v>
      </c>
      <c r="D66" s="795"/>
      <c r="E66" s="535" t="s">
        <v>1935</v>
      </c>
      <c r="F66" s="795"/>
      <c r="G66" s="662"/>
      <c r="H66" s="536"/>
      <c r="I66" s="766"/>
      <c r="J66" s="1919"/>
      <c r="K66" s="1920"/>
      <c r="L66" s="1920"/>
      <c r="M66" s="1920"/>
      <c r="N66" s="1920"/>
      <c r="O66" s="1920"/>
      <c r="P66" s="1920"/>
      <c r="Q66" s="1920"/>
      <c r="R66" s="1920"/>
      <c r="U66" s="961">
        <f>IF(J67="Non-rural project, Census Tract is High Resource (10 percentage points)",AC57,0)</f>
        <v>0</v>
      </c>
    </row>
    <row r="67" spans="1:22" ht="15" customHeight="1" thickBot="1">
      <c r="B67" s="535" t="s">
        <v>1671</v>
      </c>
      <c r="C67" s="646">
        <f>MIN(IF(AND(C65="Yes",G67&gt;=50),(0.75+(G67/200)),1),1.5)</f>
        <v>1.0449999999999999</v>
      </c>
      <c r="D67" s="536"/>
      <c r="E67" s="535" t="s">
        <v>1754</v>
      </c>
      <c r="G67" s="645">
        <f>C66+G66</f>
        <v>59</v>
      </c>
      <c r="H67" s="536"/>
      <c r="I67" s="766"/>
      <c r="J67" s="1915" t="s">
        <v>132</v>
      </c>
      <c r="K67" s="1916"/>
      <c r="L67" s="1916"/>
      <c r="M67" s="1916"/>
      <c r="N67" s="1916"/>
      <c r="O67" s="1916"/>
      <c r="P67" s="1916"/>
      <c r="Q67" s="1916"/>
      <c r="R67" s="1916"/>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4">
        <f>SUM(U62:U68)</f>
        <v>0</v>
      </c>
    </row>
    <row r="70" spans="1:22" ht="15" customHeight="1" thickBot="1">
      <c r="B70" s="515" t="s">
        <v>1680</v>
      </c>
      <c r="C70" s="515"/>
      <c r="D70" s="515"/>
      <c r="E70" s="515"/>
      <c r="F70" s="515"/>
      <c r="G70" s="515"/>
      <c r="U70" s="1925"/>
      <c r="V70" s="377" t="s">
        <v>1874</v>
      </c>
    </row>
    <row r="71" spans="1:22" ht="15" customHeight="1">
      <c r="B71" s="1914" t="s">
        <v>1684</v>
      </c>
      <c r="C71" s="1914"/>
      <c r="D71" s="1914"/>
      <c r="E71" s="515"/>
      <c r="F71" s="515"/>
      <c r="G71" s="525">
        <f>G53*(1-J58)</f>
        <v>13853191.530469675</v>
      </c>
      <c r="J71" s="537"/>
      <c r="K71" s="694" t="s">
        <v>1686</v>
      </c>
      <c r="L71" s="694"/>
      <c r="M71" s="694"/>
      <c r="N71" s="694"/>
      <c r="O71" s="694"/>
      <c r="Q71" s="1898">
        <f>'Basis &amp; Credits'!T23+'Basis &amp; Credits'!Y23+'Basis &amp; Credits'!AD23+'Basis &amp; Credits'!AI23</f>
        <v>27777777.945645884</v>
      </c>
      <c r="R71" s="1898"/>
    </row>
    <row r="72" spans="1:22" ht="15" customHeight="1">
      <c r="B72" s="1900" t="s">
        <v>1685</v>
      </c>
      <c r="C72" s="1900"/>
      <c r="D72" s="1900"/>
      <c r="E72" s="515"/>
      <c r="F72" s="515"/>
      <c r="G72" s="525">
        <f>G71*C67</f>
        <v>14476585.149340808</v>
      </c>
      <c r="J72" s="537"/>
      <c r="K72" s="657"/>
      <c r="L72" s="657"/>
      <c r="M72" s="657"/>
      <c r="N72" s="657"/>
      <c r="O72" s="657"/>
      <c r="Q72" s="1901"/>
      <c r="R72" s="1901"/>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2">
        <f>$G$72</f>
        <v>14476585.149340808</v>
      </c>
      <c r="C75" s="1903"/>
      <c r="D75" s="1903"/>
      <c r="E75" s="1903"/>
      <c r="F75" s="1903"/>
      <c r="G75" s="1903"/>
      <c r="H75" s="538"/>
      <c r="I75" s="1904" t="s">
        <v>149</v>
      </c>
      <c r="J75" s="1905" t="s">
        <v>1034</v>
      </c>
      <c r="K75" s="1904">
        <v>1</v>
      </c>
      <c r="M75" s="399"/>
      <c r="N75" s="517"/>
      <c r="O75" s="664">
        <f>$Q$71</f>
        <v>27777777.945645884</v>
      </c>
      <c r="P75" s="1905" t="s">
        <v>2033</v>
      </c>
      <c r="Q75" s="1906" t="s">
        <v>148</v>
      </c>
      <c r="R75" s="1909">
        <f>((B75/B76)+((1-(O75/O76))/2))+U69</f>
        <v>0.51551974479241225</v>
      </c>
    </row>
    <row r="76" spans="1:22" ht="15" customHeight="1" thickBot="1">
      <c r="B76" s="1907">
        <f>'Sources and Uses Budget'!$C$104+$Q$46-($E$50+$E$51)*(1-$J$58)</f>
        <v>37867644.370363191</v>
      </c>
      <c r="C76" s="1908"/>
      <c r="D76" s="1908"/>
      <c r="E76" s="1908"/>
      <c r="F76" s="1908"/>
      <c r="G76" s="1907"/>
      <c r="I76" s="1904"/>
      <c r="J76" s="1905"/>
      <c r="K76" s="1904"/>
      <c r="M76" s="655"/>
      <c r="O76" s="663">
        <f>B76</f>
        <v>37867644.370363191</v>
      </c>
      <c r="P76" s="1905"/>
      <c r="Q76" s="1906"/>
      <c r="R76" s="1910"/>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6"/>
      <c r="R84" s="1896"/>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6"/>
      <c r="R89" s="1896"/>
    </row>
    <row r="90" spans="2:18" ht="15" customHeight="1">
      <c r="B90" s="503" t="s">
        <v>2422</v>
      </c>
      <c r="C90" s="504">
        <f>+[1]EVERYTHING!$Q$26</f>
        <v>14</v>
      </c>
      <c r="D90" s="505">
        <v>699</v>
      </c>
      <c r="E90" s="505">
        <f>+[1]EVERYTHING!$R$26</f>
        <v>1678</v>
      </c>
      <c r="F90" s="547"/>
      <c r="G90" s="388">
        <f>MAX(($E90-$D90)*$C90*12,0)</f>
        <v>164472</v>
      </c>
      <c r="I90" s="526"/>
      <c r="K90" s="763" t="s">
        <v>1695</v>
      </c>
      <c r="L90" s="691"/>
      <c r="M90" s="691"/>
      <c r="N90" s="691"/>
      <c r="O90" s="691"/>
      <c r="P90" s="691"/>
      <c r="Q90" s="1899"/>
      <c r="R90" s="1899"/>
    </row>
    <row r="91" spans="2:18" ht="15" customHeight="1">
      <c r="B91" s="503" t="s">
        <v>649</v>
      </c>
      <c r="C91" s="504"/>
      <c r="D91" s="505"/>
      <c r="E91" s="505"/>
      <c r="F91" s="547"/>
      <c r="G91" s="388">
        <f t="shared" ref="G91:G97" si="0">MAX(($E91-$D91)*$C91*12,0)</f>
        <v>0</v>
      </c>
      <c r="I91" s="526"/>
      <c r="K91" s="763" t="s">
        <v>1698</v>
      </c>
      <c r="L91" s="691"/>
      <c r="M91" s="691"/>
      <c r="N91" s="691"/>
      <c r="O91" s="691"/>
      <c r="P91" s="691"/>
      <c r="Q91" s="1897">
        <f>IFERROR(Q89/Q90,0)</f>
        <v>0</v>
      </c>
      <c r="R91" s="1897"/>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8">
        <f>MAX(Q84,Q91)</f>
        <v>0</v>
      </c>
      <c r="R93" s="1898"/>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164472</v>
      </c>
      <c r="I98" s="526"/>
    </row>
    <row r="99" spans="2:9" ht="15" customHeight="1">
      <c r="I99" s="526"/>
    </row>
    <row r="100" spans="2:9" ht="15" customHeight="1">
      <c r="B100" s="380" t="s">
        <v>1696</v>
      </c>
      <c r="D100" s="527">
        <f>G98+Q93</f>
        <v>164472</v>
      </c>
      <c r="I100" s="526"/>
    </row>
    <row r="101" spans="2:9" ht="15" customHeight="1">
      <c r="B101" s="380" t="s">
        <v>1030</v>
      </c>
      <c r="D101" s="543">
        <v>0.05</v>
      </c>
      <c r="I101" s="526"/>
    </row>
    <row r="102" spans="2:9" ht="15" customHeight="1">
      <c r="B102" s="380" t="s">
        <v>1060</v>
      </c>
      <c r="D102" s="527">
        <f>D100-(D100*D101)</f>
        <v>156248.4</v>
      </c>
    </row>
    <row r="103" spans="2:9" ht="15" customHeight="1">
      <c r="B103" s="380" t="s">
        <v>1688</v>
      </c>
      <c r="D103" s="544"/>
    </row>
    <row r="104" spans="2:9" ht="15" customHeight="1">
      <c r="B104" s="380" t="s">
        <v>1697</v>
      </c>
      <c r="D104" s="527">
        <f>D102/D108</f>
        <v>135868.17391304349</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1530692.5304696744</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8" workbookViewId="0">
      <selection activeCell="K35" sqref="K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472488</v>
      </c>
      <c r="F4" s="388"/>
      <c r="G4" s="388">
        <f>E4*$C$4</f>
        <v>484300.19999999995</v>
      </c>
      <c r="H4" s="388"/>
      <c r="I4" s="388">
        <f>G4*$C$4</f>
        <v>496407.7049999999</v>
      </c>
      <c r="J4" s="388"/>
      <c r="K4" s="388">
        <f>I4*$C$4</f>
        <v>508817.89762499987</v>
      </c>
      <c r="L4" s="388"/>
      <c r="M4" s="388">
        <f>K4*$C$4</f>
        <v>521538.3450656248</v>
      </c>
      <c r="N4" s="388"/>
      <c r="O4" s="388">
        <f>M4*$C$4</f>
        <v>534576.80369226541</v>
      </c>
      <c r="P4" s="388"/>
      <c r="Q4" s="388">
        <f>O4*$C$4</f>
        <v>547941.22378457198</v>
      </c>
      <c r="R4" s="388"/>
      <c r="S4" s="388">
        <f>Q4*$C$4</f>
        <v>561639.7543791862</v>
      </c>
      <c r="T4" s="388"/>
      <c r="U4" s="388">
        <f>S4*$C$4</f>
        <v>575680.74823866575</v>
      </c>
      <c r="V4" s="388"/>
      <c r="W4" s="388">
        <f>U4*$C$4</f>
        <v>590072.7669446324</v>
      </c>
      <c r="X4" s="388"/>
      <c r="Y4" s="388">
        <f>W4*$C$4</f>
        <v>604824.58611824817</v>
      </c>
      <c r="Z4" s="388"/>
      <c r="AA4" s="388">
        <f>Y4*$C$4</f>
        <v>619945.20077120431</v>
      </c>
      <c r="AB4" s="388"/>
      <c r="AC4" s="388">
        <f>AA4*$C$4</f>
        <v>635443.83079048432</v>
      </c>
      <c r="AD4" s="388"/>
      <c r="AE4" s="388">
        <f>AC4*$C$4</f>
        <v>651329.92656024639</v>
      </c>
      <c r="AF4" s="388"/>
      <c r="AG4" s="388">
        <f>AE4*$C$4</f>
        <v>667613.17472425255</v>
      </c>
      <c r="AH4" s="388"/>
    </row>
    <row r="5" spans="1:34" ht="14.25">
      <c r="A5" s="380"/>
      <c r="B5" s="380" t="s">
        <v>1030</v>
      </c>
      <c r="C5" s="412">
        <f>IF(Application!$D$214="Special Needs",0.1,0.05)</f>
        <v>0.05</v>
      </c>
      <c r="D5" s="380"/>
      <c r="E5" s="390">
        <f>-E4*$C$5</f>
        <v>-23624.400000000001</v>
      </c>
      <c r="F5" s="390"/>
      <c r="G5" s="390">
        <f>-G4*$C$5</f>
        <v>-24215.01</v>
      </c>
      <c r="H5" s="390"/>
      <c r="I5" s="390">
        <f>-I4*$C$5</f>
        <v>-24820.385249999996</v>
      </c>
      <c r="J5" s="390"/>
      <c r="K5" s="390">
        <f>-K4*$C$5</f>
        <v>-25440.894881249995</v>
      </c>
      <c r="L5" s="390"/>
      <c r="M5" s="390">
        <f>-M4*$C$5</f>
        <v>-26076.917253281241</v>
      </c>
      <c r="N5" s="390"/>
      <c r="O5" s="390">
        <f>-O4*$C$5</f>
        <v>-26728.840184613273</v>
      </c>
      <c r="P5" s="390"/>
      <c r="Q5" s="390">
        <f>-Q4*$C$5</f>
        <v>-27397.0611892286</v>
      </c>
      <c r="R5" s="390"/>
      <c r="S5" s="390">
        <f>-S4*$C$5</f>
        <v>-28081.98771895931</v>
      </c>
      <c r="T5" s="390"/>
      <c r="U5" s="390">
        <f>-U4*$C$5</f>
        <v>-28784.037411933288</v>
      </c>
      <c r="V5" s="390"/>
      <c r="W5" s="390">
        <f>-W4*$C$5</f>
        <v>-29503.638347231623</v>
      </c>
      <c r="X5" s="390"/>
      <c r="Y5" s="390">
        <f>-Y4*$C$5</f>
        <v>-30241.229305912409</v>
      </c>
      <c r="Z5" s="390"/>
      <c r="AA5" s="390">
        <f>-AA4*$C$5</f>
        <v>-30997.260038560216</v>
      </c>
      <c r="AB5" s="390"/>
      <c r="AC5" s="390">
        <f>-AC4*$C$5</f>
        <v>-31772.191539524218</v>
      </c>
      <c r="AD5" s="390"/>
      <c r="AE5" s="390">
        <f>-AE4*$C$5</f>
        <v>-32566.496328012319</v>
      </c>
      <c r="AF5" s="390"/>
      <c r="AG5" s="390">
        <f>-AG4*$C$5</f>
        <v>-33380.65873621263</v>
      </c>
      <c r="AH5" s="380"/>
    </row>
    <row r="6" spans="1:34" ht="14.25">
      <c r="A6" s="380" t="s">
        <v>1119</v>
      </c>
      <c r="B6" s="380"/>
      <c r="C6" s="411">
        <v>1.0249999999999999</v>
      </c>
      <c r="D6" s="380"/>
      <c r="E6" s="391">
        <f>Application!Z773</f>
        <v>193872</v>
      </c>
      <c r="F6" s="391"/>
      <c r="G6" s="391">
        <f>E6*$C$6</f>
        <v>198718.8</v>
      </c>
      <c r="H6" s="391"/>
      <c r="I6" s="391">
        <f>G6*$C$6</f>
        <v>203686.76999999996</v>
      </c>
      <c r="J6" s="391"/>
      <c r="K6" s="391">
        <f>I6*$C$6</f>
        <v>208778.93924999994</v>
      </c>
      <c r="L6" s="391"/>
      <c r="M6" s="391">
        <f>K6*$C$6</f>
        <v>213998.4127312499</v>
      </c>
      <c r="N6" s="391"/>
      <c r="O6" s="391">
        <f>M6*$C$6</f>
        <v>219348.37304953113</v>
      </c>
      <c r="P6" s="391"/>
      <c r="Q6" s="391">
        <f>O6*$C$6</f>
        <v>224832.08237576939</v>
      </c>
      <c r="R6" s="391"/>
      <c r="S6" s="391">
        <f>Q6*$C$6</f>
        <v>230452.88443516361</v>
      </c>
      <c r="T6" s="391"/>
      <c r="U6" s="391">
        <f>S6*$C$6</f>
        <v>236214.20654604267</v>
      </c>
      <c r="V6" s="391"/>
      <c r="W6" s="391">
        <f>U6*$C$6</f>
        <v>242119.56170969372</v>
      </c>
      <c r="X6" s="391"/>
      <c r="Y6" s="391">
        <f>W6*$C$6</f>
        <v>248172.55075243604</v>
      </c>
      <c r="Z6" s="391"/>
      <c r="AA6" s="391">
        <f>Y6*$C$6</f>
        <v>254376.86452124693</v>
      </c>
      <c r="AB6" s="391"/>
      <c r="AC6" s="391">
        <f>AA6*$C$6</f>
        <v>260736.28613427808</v>
      </c>
      <c r="AD6" s="391"/>
      <c r="AE6" s="391">
        <f>AC6*$C$6</f>
        <v>267254.69328763499</v>
      </c>
      <c r="AF6" s="391"/>
      <c r="AG6" s="391">
        <f>AE6*$C$6</f>
        <v>273936.06061982585</v>
      </c>
      <c r="AH6" s="380"/>
    </row>
    <row r="7" spans="1:34" ht="14.25">
      <c r="A7" s="380"/>
      <c r="B7" s="380" t="s">
        <v>1030</v>
      </c>
      <c r="C7" s="412">
        <f>IF(Application!$D$214="Special Needs",0.1,0.05)</f>
        <v>0.05</v>
      </c>
      <c r="D7" s="380"/>
      <c r="E7" s="390">
        <f>-E6*$C$7</f>
        <v>-9693.6</v>
      </c>
      <c r="F7" s="390"/>
      <c r="G7" s="390">
        <f>-G6*$C$7</f>
        <v>-9935.94</v>
      </c>
      <c r="H7" s="390"/>
      <c r="I7" s="390">
        <f>-I6*$C$7</f>
        <v>-10184.338499999998</v>
      </c>
      <c r="J7" s="390"/>
      <c r="K7" s="390">
        <f>-K6*$C$7</f>
        <v>-10438.946962499998</v>
      </c>
      <c r="L7" s="390"/>
      <c r="M7" s="390">
        <f>-M6*$C$7</f>
        <v>-10699.920636562496</v>
      </c>
      <c r="N7" s="390"/>
      <c r="O7" s="390">
        <f>-O6*$C$7</f>
        <v>-10967.418652476557</v>
      </c>
      <c r="P7" s="390"/>
      <c r="Q7" s="390">
        <f>-Q6*$C$7</f>
        <v>-11241.604118788469</v>
      </c>
      <c r="R7" s="390"/>
      <c r="S7" s="390">
        <f>-S6*$C$7</f>
        <v>-11522.644221758181</v>
      </c>
      <c r="T7" s="390"/>
      <c r="U7" s="390">
        <f>-U6*$C$7</f>
        <v>-11810.710327302135</v>
      </c>
      <c r="V7" s="390"/>
      <c r="W7" s="390">
        <f>-W6*$C$7</f>
        <v>-12105.978085484687</v>
      </c>
      <c r="X7" s="390"/>
      <c r="Y7" s="390">
        <f>-Y6*$C$7</f>
        <v>-12408.627537621804</v>
      </c>
      <c r="Z7" s="390"/>
      <c r="AA7" s="390">
        <f>-AA6*$C$7</f>
        <v>-12718.843226062347</v>
      </c>
      <c r="AB7" s="390"/>
      <c r="AC7" s="390">
        <f>-AC6*$C$7</f>
        <v>-13036.814306713904</v>
      </c>
      <c r="AD7" s="390"/>
      <c r="AE7" s="390">
        <f>-AE6*$C$7</f>
        <v>-13362.734664381751</v>
      </c>
      <c r="AF7" s="390"/>
      <c r="AG7" s="390">
        <f>-AG6*$C$7</f>
        <v>-13696.803030991294</v>
      </c>
      <c r="AH7" s="380"/>
    </row>
    <row r="8" spans="1:34" ht="14.25">
      <c r="A8" s="380" t="s">
        <v>275</v>
      </c>
      <c r="B8" s="380"/>
      <c r="C8" s="411">
        <v>1.0249999999999999</v>
      </c>
      <c r="D8" s="380"/>
      <c r="E8" s="391">
        <f>Application!Z781</f>
        <v>5400</v>
      </c>
      <c r="F8" s="391"/>
      <c r="G8" s="391">
        <f>E8*$C$8</f>
        <v>5534.9999999999991</v>
      </c>
      <c r="H8" s="391"/>
      <c r="I8" s="391">
        <f>G8*$C$8</f>
        <v>5673.3749999999982</v>
      </c>
      <c r="J8" s="391"/>
      <c r="K8" s="391">
        <f>I8*$C$8</f>
        <v>5815.2093749999976</v>
      </c>
      <c r="L8" s="391"/>
      <c r="M8" s="391">
        <f>K8*$C$8</f>
        <v>5960.5896093749971</v>
      </c>
      <c r="N8" s="391"/>
      <c r="O8" s="391">
        <f>M8*$C$8</f>
        <v>6109.6043496093716</v>
      </c>
      <c r="P8" s="391"/>
      <c r="Q8" s="391">
        <f>O8*$C$8</f>
        <v>6262.3444583496057</v>
      </c>
      <c r="R8" s="391"/>
      <c r="S8" s="391">
        <f>Q8*$C$8</f>
        <v>6418.9030698083452</v>
      </c>
      <c r="T8" s="391"/>
      <c r="U8" s="391">
        <f>S8*$C$8</f>
        <v>6579.3756465535535</v>
      </c>
      <c r="V8" s="391"/>
      <c r="W8" s="391">
        <f>U8*$C$8</f>
        <v>6743.8600377173916</v>
      </c>
      <c r="X8" s="391"/>
      <c r="Y8" s="391">
        <f>W8*$C$8</f>
        <v>6912.4565386603254</v>
      </c>
      <c r="Z8" s="391"/>
      <c r="AA8" s="391">
        <f>Y8*$C$8</f>
        <v>7085.2679521268328</v>
      </c>
      <c r="AB8" s="391"/>
      <c r="AC8" s="391">
        <f>AA8*$C$8</f>
        <v>7262.3996509300032</v>
      </c>
      <c r="AD8" s="391"/>
      <c r="AE8" s="391">
        <f>AC8*$C$8</f>
        <v>7443.9596422032528</v>
      </c>
      <c r="AF8" s="391"/>
      <c r="AG8" s="391">
        <f>AE8*$C$8</f>
        <v>7630.0586332583334</v>
      </c>
      <c r="AH8" s="380"/>
    </row>
    <row r="9" spans="1:34" ht="14.25">
      <c r="A9" s="380"/>
      <c r="B9" s="380" t="s">
        <v>1030</v>
      </c>
      <c r="C9" s="412">
        <f>IF(Application!$D$214="Special Needs",0.1,0.05)</f>
        <v>0.05</v>
      </c>
      <c r="D9" s="380"/>
      <c r="E9" s="390">
        <f>-E8*$C$9</f>
        <v>-270</v>
      </c>
      <c r="F9" s="390"/>
      <c r="G9" s="390">
        <f>-G8*$C$9</f>
        <v>-276.74999999999994</v>
      </c>
      <c r="H9" s="390"/>
      <c r="I9" s="390">
        <f>-I8*$C$9</f>
        <v>-283.66874999999993</v>
      </c>
      <c r="J9" s="390"/>
      <c r="K9" s="390">
        <f>-K8*$C$9</f>
        <v>-290.76046874999992</v>
      </c>
      <c r="L9" s="390"/>
      <c r="M9" s="390">
        <f>-M8*$C$9</f>
        <v>-298.02948046874985</v>
      </c>
      <c r="N9" s="390"/>
      <c r="O9" s="390">
        <f>-O8*$C$9</f>
        <v>-305.48021748046858</v>
      </c>
      <c r="P9" s="390"/>
      <c r="Q9" s="390">
        <f>-Q8*$C$9</f>
        <v>-313.11722291748032</v>
      </c>
      <c r="R9" s="390"/>
      <c r="S9" s="390">
        <f>-S8*$C$9</f>
        <v>-320.94515349041728</v>
      </c>
      <c r="T9" s="390"/>
      <c r="U9" s="390">
        <f>-U8*$C$9</f>
        <v>-328.96878232767767</v>
      </c>
      <c r="V9" s="390"/>
      <c r="W9" s="390">
        <f>-W8*$C$9</f>
        <v>-337.19300188586959</v>
      </c>
      <c r="X9" s="390"/>
      <c r="Y9" s="390">
        <f>-Y8*$C$9</f>
        <v>-345.62282693301631</v>
      </c>
      <c r="Z9" s="390"/>
      <c r="AA9" s="390">
        <f>-AA8*$C$9</f>
        <v>-354.26339760634164</v>
      </c>
      <c r="AB9" s="390"/>
      <c r="AC9" s="390">
        <f>-AC8*$C$9</f>
        <v>-363.11998254650018</v>
      </c>
      <c r="AD9" s="390"/>
      <c r="AE9" s="390">
        <f>-AE8*$C$9</f>
        <v>-372.19798211016268</v>
      </c>
      <c r="AF9" s="390"/>
      <c r="AG9" s="390">
        <f>-AG8*$C$9</f>
        <v>-381.50293166291669</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638172</v>
      </c>
      <c r="F11" s="392"/>
      <c r="G11" s="392">
        <f>SUM(G4:G10)</f>
        <v>654126.30000000005</v>
      </c>
      <c r="H11" s="392"/>
      <c r="I11" s="392">
        <f>SUM(I4:I10)</f>
        <v>670479.4574999999</v>
      </c>
      <c r="J11" s="392"/>
      <c r="K11" s="392">
        <f>SUM(K4:K10)</f>
        <v>687241.44393749977</v>
      </c>
      <c r="L11" s="392"/>
      <c r="M11" s="392">
        <f>SUM(M4:M10)</f>
        <v>704422.48003593727</v>
      </c>
      <c r="N11" s="392"/>
      <c r="O11" s="392">
        <f>SUM(O4:O10)</f>
        <v>722033.04203683569</v>
      </c>
      <c r="P11" s="392"/>
      <c r="Q11" s="392">
        <f>SUM(Q4:Q10)</f>
        <v>740083.86808775645</v>
      </c>
      <c r="R11" s="392"/>
      <c r="S11" s="392">
        <f>SUM(S4:S10)</f>
        <v>758585.96478995017</v>
      </c>
      <c r="T11" s="392"/>
      <c r="U11" s="392">
        <f>SUM(U4:U10)</f>
        <v>777550.61390969891</v>
      </c>
      <c r="V11" s="392"/>
      <c r="W11" s="392">
        <f>SUM(W4:W10)</f>
        <v>796989.37925744127</v>
      </c>
      <c r="X11" s="392"/>
      <c r="Y11" s="392">
        <f>SUM(Y4:Y10)</f>
        <v>816914.11373887735</v>
      </c>
      <c r="Z11" s="392"/>
      <c r="AA11" s="392">
        <f>SUM(AA4:AA10)</f>
        <v>837336.96658234915</v>
      </c>
      <c r="AB11" s="392"/>
      <c r="AC11" s="392">
        <f>SUM(AC4:AC10)</f>
        <v>858270.39074690768</v>
      </c>
      <c r="AD11" s="392"/>
      <c r="AE11" s="392">
        <f>SUM(AE4:AE10)</f>
        <v>879727.15051558043</v>
      </c>
      <c r="AF11" s="392"/>
      <c r="AG11" s="392">
        <f>SUM(AG4:AG10)</f>
        <v>901720.32927846978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76947</v>
      </c>
      <c r="F15" s="388"/>
      <c r="G15" s="388">
        <f t="shared" ref="G15:G21" si="0">E15*$C$14</f>
        <v>79640.14499999999</v>
      </c>
      <c r="H15" s="388"/>
      <c r="I15" s="388">
        <f t="shared" ref="I15:I21" si="1">G15*$C$14</f>
        <v>82427.550074999977</v>
      </c>
      <c r="J15" s="388"/>
      <c r="K15" s="388">
        <f t="shared" ref="K15:K21" si="2">I15*$C$14</f>
        <v>85312.514327624973</v>
      </c>
      <c r="L15" s="388"/>
      <c r="M15" s="388">
        <f t="shared" ref="M15:M21" si="3">K15*$C$14</f>
        <v>88298.452329091844</v>
      </c>
      <c r="N15" s="388"/>
      <c r="O15" s="388">
        <f t="shared" ref="O15:O21" si="4">M15*$C$14</f>
        <v>91388.898160610057</v>
      </c>
      <c r="P15" s="388"/>
      <c r="Q15" s="388">
        <f t="shared" ref="Q15:Q21" si="5">O15*$C$14</f>
        <v>94587.509596231408</v>
      </c>
      <c r="R15" s="388"/>
      <c r="S15" s="388">
        <f t="shared" ref="S15:S21" si="6">Q15*$C$14</f>
        <v>97898.072432099507</v>
      </c>
      <c r="T15" s="388"/>
      <c r="U15" s="388">
        <f t="shared" ref="U15:U21" si="7">S15*$C$14</f>
        <v>101324.50496722298</v>
      </c>
      <c r="V15" s="388"/>
      <c r="W15" s="388">
        <f t="shared" ref="W15:W21" si="8">U15*$C$14</f>
        <v>104870.86264107577</v>
      </c>
      <c r="X15" s="388"/>
      <c r="Y15" s="388">
        <f t="shared" ref="Y15:Y21" si="9">W15*$C$14</f>
        <v>108541.34283351341</v>
      </c>
      <c r="Z15" s="388"/>
      <c r="AA15" s="388">
        <f t="shared" ref="AA15:AA21" si="10">Y15*$C$14</f>
        <v>112340.28983268637</v>
      </c>
      <c r="AB15" s="388"/>
      <c r="AC15" s="388">
        <f t="shared" ref="AC15:AC21" si="11">AA15*$C$14</f>
        <v>116272.19997683038</v>
      </c>
      <c r="AD15" s="388"/>
      <c r="AE15" s="388">
        <f t="shared" ref="AE15:AE21" si="12">AC15*$C$14</f>
        <v>120341.72697601943</v>
      </c>
      <c r="AF15" s="388"/>
      <c r="AG15" s="388">
        <f t="shared" ref="AG15:AG21" si="13">AE15*$C$14</f>
        <v>124553.6874201801</v>
      </c>
      <c r="AH15" s="388"/>
    </row>
    <row r="16" spans="1:34" ht="14.25">
      <c r="A16" s="380" t="s">
        <v>496</v>
      </c>
      <c r="B16" s="380"/>
      <c r="C16" s="402"/>
      <c r="D16" s="380"/>
      <c r="E16" s="391">
        <f>Application!W813</f>
        <v>49560</v>
      </c>
      <c r="F16" s="391"/>
      <c r="G16" s="391">
        <f t="shared" si="0"/>
        <v>51294.6</v>
      </c>
      <c r="H16" s="391"/>
      <c r="I16" s="391">
        <f t="shared" si="1"/>
        <v>53089.910999999993</v>
      </c>
      <c r="J16" s="391"/>
      <c r="K16" s="391">
        <f t="shared" si="2"/>
        <v>54948.057884999987</v>
      </c>
      <c r="L16" s="391"/>
      <c r="M16" s="391">
        <f t="shared" si="3"/>
        <v>56871.239910974982</v>
      </c>
      <c r="N16" s="391"/>
      <c r="O16" s="391">
        <f t="shared" si="4"/>
        <v>58861.733307859104</v>
      </c>
      <c r="P16" s="391"/>
      <c r="Q16" s="391">
        <f t="shared" si="5"/>
        <v>60921.893973634171</v>
      </c>
      <c r="R16" s="391"/>
      <c r="S16" s="391">
        <f t="shared" si="6"/>
        <v>63054.160262711361</v>
      </c>
      <c r="T16" s="391"/>
      <c r="U16" s="391">
        <f t="shared" si="7"/>
        <v>65261.055871906254</v>
      </c>
      <c r="V16" s="391"/>
      <c r="W16" s="391">
        <f t="shared" si="8"/>
        <v>67545.192827422972</v>
      </c>
      <c r="X16" s="391"/>
      <c r="Y16" s="391">
        <f t="shared" si="9"/>
        <v>69909.27457638277</v>
      </c>
      <c r="Z16" s="391"/>
      <c r="AA16" s="391">
        <f t="shared" si="10"/>
        <v>72356.099186556166</v>
      </c>
      <c r="AB16" s="391"/>
      <c r="AC16" s="391">
        <f t="shared" si="11"/>
        <v>74888.562658085633</v>
      </c>
      <c r="AD16" s="391"/>
      <c r="AE16" s="391">
        <f t="shared" si="12"/>
        <v>77509.662351118619</v>
      </c>
      <c r="AF16" s="391"/>
      <c r="AG16" s="391">
        <f t="shared" si="13"/>
        <v>80222.500533407758</v>
      </c>
      <c r="AH16" s="380"/>
    </row>
    <row r="17" spans="1:34" ht="14.25">
      <c r="A17" s="380" t="s">
        <v>768</v>
      </c>
      <c r="B17" s="380"/>
      <c r="C17" s="402"/>
      <c r="D17" s="380"/>
      <c r="E17" s="391">
        <f>Application!W819</f>
        <v>62360</v>
      </c>
      <c r="F17" s="391"/>
      <c r="G17" s="391">
        <f t="shared" si="0"/>
        <v>64542.6</v>
      </c>
      <c r="H17" s="391"/>
      <c r="I17" s="391">
        <f t="shared" si="1"/>
        <v>66801.591</v>
      </c>
      <c r="J17" s="391"/>
      <c r="K17" s="391">
        <f t="shared" si="2"/>
        <v>69139.646685</v>
      </c>
      <c r="L17" s="391"/>
      <c r="M17" s="391">
        <f t="shared" si="3"/>
        <v>71559.534318974998</v>
      </c>
      <c r="N17" s="391"/>
      <c r="O17" s="391">
        <f t="shared" si="4"/>
        <v>74064.118020139111</v>
      </c>
      <c r="P17" s="391"/>
      <c r="Q17" s="391">
        <f t="shared" si="5"/>
        <v>76656.362150843968</v>
      </c>
      <c r="R17" s="391"/>
      <c r="S17" s="391">
        <f t="shared" si="6"/>
        <v>79339.334826123508</v>
      </c>
      <c r="T17" s="391"/>
      <c r="U17" s="391">
        <f t="shared" si="7"/>
        <v>82116.211545037819</v>
      </c>
      <c r="V17" s="391"/>
      <c r="W17" s="391">
        <f t="shared" si="8"/>
        <v>84990.27894911413</v>
      </c>
      <c r="X17" s="391"/>
      <c r="Y17" s="391">
        <f t="shared" si="9"/>
        <v>87964.938712333111</v>
      </c>
      <c r="Z17" s="391"/>
      <c r="AA17" s="391">
        <f t="shared" si="10"/>
        <v>91043.711567264763</v>
      </c>
      <c r="AB17" s="391"/>
      <c r="AC17" s="391">
        <f t="shared" si="11"/>
        <v>94230.241472119029</v>
      </c>
      <c r="AD17" s="391"/>
      <c r="AE17" s="391">
        <f t="shared" si="12"/>
        <v>97528.299923643193</v>
      </c>
      <c r="AF17" s="391"/>
      <c r="AG17" s="391">
        <f t="shared" si="13"/>
        <v>100941.79042097069</v>
      </c>
      <c r="AH17" s="380"/>
    </row>
    <row r="18" spans="1:34" ht="14.25">
      <c r="A18" s="380" t="s">
        <v>1124</v>
      </c>
      <c r="B18" s="380"/>
      <c r="C18" s="402"/>
      <c r="D18" s="380"/>
      <c r="E18" s="391">
        <f>Application!W826</f>
        <v>144364</v>
      </c>
      <c r="F18" s="391"/>
      <c r="G18" s="391">
        <f t="shared" si="0"/>
        <v>149416.74</v>
      </c>
      <c r="H18" s="391"/>
      <c r="I18" s="391">
        <f t="shared" si="1"/>
        <v>154646.32589999997</v>
      </c>
      <c r="J18" s="391"/>
      <c r="K18" s="391">
        <f t="shared" si="2"/>
        <v>160058.94730649996</v>
      </c>
      <c r="L18" s="391"/>
      <c r="M18" s="391">
        <f t="shared" si="3"/>
        <v>165661.01046222745</v>
      </c>
      <c r="N18" s="391"/>
      <c r="O18" s="391">
        <f t="shared" si="4"/>
        <v>171459.1458284054</v>
      </c>
      <c r="P18" s="391"/>
      <c r="Q18" s="391">
        <f t="shared" si="5"/>
        <v>177460.21593239956</v>
      </c>
      <c r="R18" s="391"/>
      <c r="S18" s="391">
        <f t="shared" si="6"/>
        <v>183671.32349003354</v>
      </c>
      <c r="T18" s="391"/>
      <c r="U18" s="391">
        <f t="shared" si="7"/>
        <v>190099.81981218469</v>
      </c>
      <c r="V18" s="391"/>
      <c r="W18" s="391">
        <f t="shared" si="8"/>
        <v>196753.31350561115</v>
      </c>
      <c r="X18" s="391"/>
      <c r="Y18" s="391">
        <f t="shared" si="9"/>
        <v>203639.67947830752</v>
      </c>
      <c r="Z18" s="391"/>
      <c r="AA18" s="391">
        <f t="shared" si="10"/>
        <v>210767.06826004825</v>
      </c>
      <c r="AB18" s="391"/>
      <c r="AC18" s="391">
        <f t="shared" si="11"/>
        <v>218143.91564914992</v>
      </c>
      <c r="AD18" s="391"/>
      <c r="AE18" s="391">
        <f t="shared" si="12"/>
        <v>225778.95269687014</v>
      </c>
      <c r="AF18" s="391"/>
      <c r="AG18" s="391">
        <f t="shared" si="13"/>
        <v>233681.21604126057</v>
      </c>
    </row>
    <row r="19" spans="1:34" ht="14.25">
      <c r="A19" s="380" t="s">
        <v>973</v>
      </c>
      <c r="B19" s="380"/>
      <c r="C19" s="402"/>
      <c r="D19" s="380"/>
      <c r="E19" s="391">
        <f>Application!W827</f>
        <v>35166</v>
      </c>
      <c r="F19" s="391"/>
      <c r="G19" s="391">
        <f t="shared" si="0"/>
        <v>36396.81</v>
      </c>
      <c r="H19" s="391"/>
      <c r="I19" s="391">
        <f t="shared" si="1"/>
        <v>37670.698349999991</v>
      </c>
      <c r="J19" s="391"/>
      <c r="K19" s="391">
        <f t="shared" si="2"/>
        <v>38989.172792249985</v>
      </c>
      <c r="L19" s="391"/>
      <c r="M19" s="391">
        <f t="shared" si="3"/>
        <v>40353.793839978731</v>
      </c>
      <c r="N19" s="391"/>
      <c r="O19" s="391">
        <f t="shared" si="4"/>
        <v>41766.176624377986</v>
      </c>
      <c r="P19" s="391"/>
      <c r="Q19" s="391">
        <f t="shared" si="5"/>
        <v>43227.99280623121</v>
      </c>
      <c r="R19" s="391"/>
      <c r="S19" s="391">
        <f t="shared" si="6"/>
        <v>44740.972554449298</v>
      </c>
      <c r="T19" s="391"/>
      <c r="U19" s="391">
        <f t="shared" si="7"/>
        <v>46306.906593855019</v>
      </c>
      <c r="V19" s="391"/>
      <c r="W19" s="391">
        <f t="shared" si="8"/>
        <v>47927.648324639944</v>
      </c>
      <c r="X19" s="391"/>
      <c r="Y19" s="391">
        <f t="shared" si="9"/>
        <v>49605.116016002336</v>
      </c>
      <c r="Z19" s="391"/>
      <c r="AA19" s="391">
        <f t="shared" si="10"/>
        <v>51341.295076562412</v>
      </c>
      <c r="AB19" s="391"/>
      <c r="AC19" s="391">
        <f t="shared" si="11"/>
        <v>53138.240404242089</v>
      </c>
      <c r="AD19" s="391"/>
      <c r="AE19" s="391">
        <f t="shared" si="12"/>
        <v>54998.078818390561</v>
      </c>
      <c r="AF19" s="391"/>
      <c r="AG19" s="391">
        <f t="shared" si="13"/>
        <v>56923.011577034224</v>
      </c>
    </row>
    <row r="20" spans="1:34" ht="14.25">
      <c r="A20" s="380" t="s">
        <v>59</v>
      </c>
      <c r="B20" s="380"/>
      <c r="C20" s="402"/>
      <c r="D20" s="380"/>
      <c r="E20" s="391">
        <f>Application!W836</f>
        <v>82586</v>
      </c>
      <c r="F20" s="391"/>
      <c r="G20" s="391">
        <f t="shared" si="0"/>
        <v>85476.51</v>
      </c>
      <c r="H20" s="391"/>
      <c r="I20" s="391">
        <f t="shared" si="1"/>
        <v>88468.187849999988</v>
      </c>
      <c r="J20" s="391"/>
      <c r="K20" s="391">
        <f t="shared" si="2"/>
        <v>91564.574424749982</v>
      </c>
      <c r="L20" s="391"/>
      <c r="M20" s="391">
        <f t="shared" si="3"/>
        <v>94769.33452961623</v>
      </c>
      <c r="N20" s="391"/>
      <c r="O20" s="391">
        <f t="shared" si="4"/>
        <v>98086.261238152787</v>
      </c>
      <c r="P20" s="391"/>
      <c r="Q20" s="391">
        <f t="shared" si="5"/>
        <v>101519.28038148813</v>
      </c>
      <c r="R20" s="391"/>
      <c r="S20" s="391">
        <f t="shared" si="6"/>
        <v>105072.45519484021</v>
      </c>
      <c r="T20" s="391"/>
      <c r="U20" s="391">
        <f t="shared" si="7"/>
        <v>108749.9911266596</v>
      </c>
      <c r="V20" s="391"/>
      <c r="W20" s="391">
        <f t="shared" si="8"/>
        <v>112556.24081609269</v>
      </c>
      <c r="X20" s="391"/>
      <c r="Y20" s="391">
        <f t="shared" si="9"/>
        <v>116495.70924465593</v>
      </c>
      <c r="Z20" s="391"/>
      <c r="AA20" s="391">
        <f t="shared" si="10"/>
        <v>120573.05906821888</v>
      </c>
      <c r="AB20" s="391"/>
      <c r="AC20" s="391">
        <f t="shared" si="11"/>
        <v>124793.11613560653</v>
      </c>
      <c r="AD20" s="391"/>
      <c r="AE20" s="391">
        <f t="shared" si="12"/>
        <v>129160.87520035275</v>
      </c>
      <c r="AF20" s="391"/>
      <c r="AG20" s="391">
        <f t="shared" si="13"/>
        <v>133681.50583236507</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450983</v>
      </c>
      <c r="F22" s="392"/>
      <c r="G22" s="392">
        <f>SUM(G15:G21)</f>
        <v>466767.40499999997</v>
      </c>
      <c r="H22" s="392"/>
      <c r="I22" s="392">
        <f>SUM(I15:I21)</f>
        <v>483104.2641749999</v>
      </c>
      <c r="J22" s="392"/>
      <c r="K22" s="392">
        <f>SUM(K15:K21)</f>
        <v>500012.91342112492</v>
      </c>
      <c r="L22" s="392"/>
      <c r="M22" s="392">
        <f>SUM(M15:M21)</f>
        <v>517513.36539086426</v>
      </c>
      <c r="N22" s="392"/>
      <c r="O22" s="392">
        <f>SUM(O15:O21)</f>
        <v>535626.33317954442</v>
      </c>
      <c r="P22" s="392"/>
      <c r="Q22" s="392">
        <f>SUM(Q15:Q21)</f>
        <v>554373.25484082836</v>
      </c>
      <c r="R22" s="392"/>
      <c r="S22" s="392">
        <f>SUM(S15:S21)</f>
        <v>573776.31876025745</v>
      </c>
      <c r="T22" s="392"/>
      <c r="U22" s="392">
        <f>SUM(U15:U21)</f>
        <v>593858.4899168663</v>
      </c>
      <c r="V22" s="392"/>
      <c r="W22" s="392">
        <f>SUM(W15:W21)</f>
        <v>614643.53706395661</v>
      </c>
      <c r="X22" s="392"/>
      <c r="Y22" s="392">
        <f>SUM(Y15:Y21)</f>
        <v>636156.06086119509</v>
      </c>
      <c r="Z22" s="392"/>
      <c r="AA22" s="392">
        <f>SUM(AA15:AA21)</f>
        <v>658421.52299133688</v>
      </c>
      <c r="AB22" s="392"/>
      <c r="AC22" s="392">
        <f>SUM(AC15:AC21)</f>
        <v>681466.27629603352</v>
      </c>
      <c r="AD22" s="392"/>
      <c r="AE22" s="392">
        <f>SUM(AE15:AE21)</f>
        <v>705317.59596639476</v>
      </c>
      <c r="AF22" s="392"/>
      <c r="AG22" s="392">
        <f>SUM(AG15:AG21)</f>
        <v>730003.71182521852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5220</v>
      </c>
      <c r="F26" s="388"/>
      <c r="G26" s="388">
        <f>E26*$C$26</f>
        <v>5402.7</v>
      </c>
      <c r="H26" s="388"/>
      <c r="I26" s="388">
        <f>G26*$C$26</f>
        <v>5591.7944999999991</v>
      </c>
      <c r="J26" s="388"/>
      <c r="K26" s="388">
        <f>I26*$C$26</f>
        <v>5787.5073074999982</v>
      </c>
      <c r="L26" s="388"/>
      <c r="M26" s="388">
        <f>K26*$C$26</f>
        <v>5990.0700632624976</v>
      </c>
      <c r="N26" s="388"/>
      <c r="O26" s="388">
        <f>M26*$C$26</f>
        <v>6199.7225154766847</v>
      </c>
      <c r="P26" s="388"/>
      <c r="Q26" s="388">
        <f>O26*$C$26</f>
        <v>6416.7128035183687</v>
      </c>
      <c r="R26" s="388"/>
      <c r="S26" s="388">
        <f>Q26*$C$26</f>
        <v>6641.2977516415112</v>
      </c>
      <c r="T26" s="388"/>
      <c r="U26" s="388">
        <f>S26*$C$26</f>
        <v>6873.7431729489635</v>
      </c>
      <c r="V26" s="388"/>
      <c r="W26" s="388">
        <f>U26*$C$26</f>
        <v>7114.3241840021765</v>
      </c>
      <c r="X26" s="388"/>
      <c r="Y26" s="388">
        <f>W26*$C$26</f>
        <v>7363.3255304422519</v>
      </c>
      <c r="Z26" s="388"/>
      <c r="AA26" s="388">
        <f>Y26*$C$26</f>
        <v>7621.0419240077299</v>
      </c>
      <c r="AB26" s="388"/>
      <c r="AC26" s="388">
        <f>AA26*$C$26</f>
        <v>7887.7783913479998</v>
      </c>
      <c r="AD26" s="388"/>
      <c r="AE26" s="388">
        <f>AC26*$C$26</f>
        <v>8163.8506350451789</v>
      </c>
      <c r="AF26" s="388"/>
      <c r="AG26" s="388">
        <f>AE26*$C$26</f>
        <v>8449.5854072717593</v>
      </c>
    </row>
    <row r="27" spans="1:34" ht="14.25">
      <c r="A27" s="380" t="s">
        <v>1126</v>
      </c>
      <c r="B27" s="380"/>
      <c r="C27" s="411">
        <v>1.0249999999999999</v>
      </c>
      <c r="D27" s="380"/>
      <c r="E27" s="391">
        <f>Application!AC852</f>
        <v>49623</v>
      </c>
      <c r="F27" s="391"/>
      <c r="G27" s="391">
        <f>E27*$C$27</f>
        <v>50863.574999999997</v>
      </c>
      <c r="H27" s="391"/>
      <c r="I27" s="391">
        <f>G27*$C$27</f>
        <v>52135.164374999993</v>
      </c>
      <c r="J27" s="391"/>
      <c r="K27" s="391">
        <f>I27*$C$27</f>
        <v>53438.54348437499</v>
      </c>
      <c r="L27" s="391"/>
      <c r="M27" s="391">
        <f>K27*$C$27</f>
        <v>54774.50707148436</v>
      </c>
      <c r="N27" s="391"/>
      <c r="O27" s="391">
        <f>M27*$C$27</f>
        <v>56143.869748271463</v>
      </c>
      <c r="P27" s="391"/>
      <c r="Q27" s="391">
        <f>O27*$C$27</f>
        <v>57547.466491978244</v>
      </c>
      <c r="R27" s="391"/>
      <c r="S27" s="391">
        <f>Q27*$C$27</f>
        <v>58986.153154277694</v>
      </c>
      <c r="T27" s="391"/>
      <c r="U27" s="391">
        <f>S27*$C$27</f>
        <v>60460.806983134629</v>
      </c>
      <c r="V27" s="391"/>
      <c r="W27" s="391">
        <f>U27*$C$27</f>
        <v>61972.327157712993</v>
      </c>
      <c r="X27" s="391"/>
      <c r="Y27" s="391">
        <f>W27*$C$27</f>
        <v>63521.635336655811</v>
      </c>
      <c r="Z27" s="391"/>
      <c r="AA27" s="391">
        <f>Y27*$C$27</f>
        <v>65109.676220072201</v>
      </c>
      <c r="AB27" s="391"/>
      <c r="AC27" s="391">
        <f>AA27*$C$27</f>
        <v>66737.418125573997</v>
      </c>
      <c r="AD27" s="391"/>
      <c r="AE27" s="391">
        <f>AC27*$C$27</f>
        <v>68405.853578713344</v>
      </c>
      <c r="AF27" s="391"/>
      <c r="AG27" s="391">
        <f>AE27*$C$27</f>
        <v>70115.999918181173</v>
      </c>
    </row>
    <row r="28" spans="1:34" ht="14.25">
      <c r="A28" s="606" t="s">
        <v>1127</v>
      </c>
      <c r="B28" s="380"/>
      <c r="C28" s="411"/>
      <c r="D28" s="380"/>
      <c r="E28" s="391">
        <f>Application!AC853</f>
        <v>29500</v>
      </c>
      <c r="F28" s="391"/>
      <c r="G28" s="391">
        <f>$E$28</f>
        <v>29500</v>
      </c>
      <c r="H28" s="391"/>
      <c r="I28" s="391">
        <f>$E$28</f>
        <v>29500</v>
      </c>
      <c r="J28" s="391"/>
      <c r="K28" s="391">
        <f>$E$28</f>
        <v>29500</v>
      </c>
      <c r="L28" s="391"/>
      <c r="M28" s="391">
        <f>$E$28</f>
        <v>29500</v>
      </c>
      <c r="N28" s="391"/>
      <c r="O28" s="391">
        <f>$E$28</f>
        <v>29500</v>
      </c>
      <c r="P28" s="391"/>
      <c r="Q28" s="391">
        <f>$E$28</f>
        <v>29500</v>
      </c>
      <c r="R28" s="391"/>
      <c r="S28" s="391">
        <f>$E$28</f>
        <v>29500</v>
      </c>
      <c r="T28" s="391"/>
      <c r="U28" s="391">
        <f>$E$28</f>
        <v>29500</v>
      </c>
      <c r="V28" s="391"/>
      <c r="W28" s="391">
        <f>$E$28</f>
        <v>29500</v>
      </c>
      <c r="X28" s="391"/>
      <c r="Y28" s="391">
        <f>$E$28</f>
        <v>29500</v>
      </c>
      <c r="Z28" s="391"/>
      <c r="AA28" s="391">
        <f>$E$28</f>
        <v>29500</v>
      </c>
      <c r="AB28" s="391"/>
      <c r="AC28" s="391">
        <f>$E$28</f>
        <v>29500</v>
      </c>
      <c r="AD28" s="391"/>
      <c r="AE28" s="391">
        <f>$E$28</f>
        <v>29500</v>
      </c>
      <c r="AF28" s="391"/>
      <c r="AG28" s="391">
        <f>$E$28</f>
        <v>29500</v>
      </c>
    </row>
    <row r="29" spans="1:34" ht="14.25">
      <c r="A29" s="606" t="s">
        <v>2030</v>
      </c>
      <c r="B29" s="380"/>
      <c r="C29" s="411"/>
      <c r="D29" s="380"/>
      <c r="E29" s="391">
        <f>Application!AC854</f>
        <v>6000</v>
      </c>
      <c r="F29" s="391"/>
      <c r="G29" s="391">
        <f>$E$29</f>
        <v>6000</v>
      </c>
      <c r="H29" s="391"/>
      <c r="I29" s="391">
        <f>$E$29</f>
        <v>6000</v>
      </c>
      <c r="J29" s="391"/>
      <c r="K29" s="391">
        <f>$E$29</f>
        <v>6000</v>
      </c>
      <c r="L29" s="391"/>
      <c r="M29" s="391">
        <f>$E$29</f>
        <v>6000</v>
      </c>
      <c r="N29" s="391"/>
      <c r="O29" s="391">
        <f>$E$29</f>
        <v>6000</v>
      </c>
      <c r="P29" s="391"/>
      <c r="Q29" s="391">
        <f>$E$29</f>
        <v>6000</v>
      </c>
      <c r="R29" s="391"/>
      <c r="S29" s="391">
        <f>$E$29</f>
        <v>6000</v>
      </c>
      <c r="T29" s="391"/>
      <c r="U29" s="391">
        <f>$E$29</f>
        <v>6000</v>
      </c>
      <c r="V29" s="391"/>
      <c r="W29" s="391">
        <f>$E$29</f>
        <v>6000</v>
      </c>
      <c r="X29" s="391"/>
      <c r="Y29" s="391">
        <f>$E$29</f>
        <v>6000</v>
      </c>
      <c r="Z29" s="391"/>
      <c r="AA29" s="391">
        <f>$E$29</f>
        <v>6000</v>
      </c>
      <c r="AB29" s="391"/>
      <c r="AC29" s="391">
        <f>$E$29</f>
        <v>6000</v>
      </c>
      <c r="AD29" s="391"/>
      <c r="AE29" s="391">
        <f>$E$29</f>
        <v>6000</v>
      </c>
      <c r="AF29" s="391"/>
      <c r="AG29" s="391">
        <f>$E$29</f>
        <v>6000</v>
      </c>
    </row>
    <row r="30" spans="1:34" ht="14.25">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541326</v>
      </c>
      <c r="F35" s="392"/>
      <c r="G35" s="392">
        <f>SUM(G22:G33)</f>
        <v>558533.67999999993</v>
      </c>
      <c r="H35" s="392"/>
      <c r="I35" s="392">
        <f>SUM(I22:I33)</f>
        <v>576331.22304999991</v>
      </c>
      <c r="J35" s="392"/>
      <c r="K35" s="392">
        <f>SUM(K22:K33)</f>
        <v>594738.96421299991</v>
      </c>
      <c r="L35" s="392"/>
      <c r="M35" s="392">
        <f>SUM(M22:M33)</f>
        <v>613777.94252561114</v>
      </c>
      <c r="N35" s="392"/>
      <c r="O35" s="392">
        <f>SUM(O22:O33)</f>
        <v>633469.92544329248</v>
      </c>
      <c r="P35" s="392"/>
      <c r="Q35" s="392">
        <f>SUM(Q22:Q33)</f>
        <v>653837.43413632503</v>
      </c>
      <c r="R35" s="392"/>
      <c r="S35" s="392">
        <f>SUM(S22:S33)</f>
        <v>674903.76966617664</v>
      </c>
      <c r="T35" s="392"/>
      <c r="U35" s="392">
        <f>SUM(U22:U33)</f>
        <v>696693.04007294984</v>
      </c>
      <c r="V35" s="392"/>
      <c r="W35" s="392">
        <f>SUM(W22:W33)</f>
        <v>719230.18840567174</v>
      </c>
      <c r="X35" s="392"/>
      <c r="Y35" s="392">
        <f>SUM(Y22:Y33)</f>
        <v>742541.02172829316</v>
      </c>
      <c r="Z35" s="392"/>
      <c r="AA35" s="392">
        <f>SUM(AA22:AA33)</f>
        <v>766652.24113541679</v>
      </c>
      <c r="AB35" s="392"/>
      <c r="AC35" s="392">
        <f>SUM(AC22:AC33)</f>
        <v>791591.4728129555</v>
      </c>
      <c r="AD35" s="392"/>
      <c r="AE35" s="392">
        <f>SUM(AE22:AE33)</f>
        <v>817387.30018015334</v>
      </c>
      <c r="AF35" s="392"/>
      <c r="AG35" s="392">
        <f>SUM(AG22:AG33)</f>
        <v>844069.29715067148</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96846</v>
      </c>
      <c r="F37" s="392"/>
      <c r="G37" s="392">
        <f>G11-G35</f>
        <v>95592.620000000112</v>
      </c>
      <c r="H37" s="392"/>
      <c r="I37" s="392">
        <f>I11-I35</f>
        <v>94148.234449999989</v>
      </c>
      <c r="J37" s="392"/>
      <c r="K37" s="392">
        <f>K11-K35</f>
        <v>92502.479724499863</v>
      </c>
      <c r="L37" s="392"/>
      <c r="M37" s="392">
        <f>M11-M35</f>
        <v>90644.537510326132</v>
      </c>
      <c r="N37" s="392"/>
      <c r="O37" s="392">
        <f>O11-O35</f>
        <v>88563.116593543207</v>
      </c>
      <c r="P37" s="392"/>
      <c r="Q37" s="392">
        <f>Q11-Q35</f>
        <v>86246.43395143142</v>
      </c>
      <c r="R37" s="392"/>
      <c r="S37" s="392">
        <f>S11-S35</f>
        <v>83682.195123773534</v>
      </c>
      <c r="T37" s="392"/>
      <c r="U37" s="392">
        <f>U11-U35</f>
        <v>80857.57383674907</v>
      </c>
      <c r="V37" s="392"/>
      <c r="W37" s="392">
        <f>W11-W35</f>
        <v>77759.190851769526</v>
      </c>
      <c r="X37" s="392"/>
      <c r="Y37" s="392">
        <f>Y11-Y35</f>
        <v>74373.092010584194</v>
      </c>
      <c r="Z37" s="392"/>
      <c r="AA37" s="392">
        <f>AA11-AA35</f>
        <v>70684.725446932367</v>
      </c>
      <c r="AB37" s="392"/>
      <c r="AC37" s="392">
        <f>AC11-AC35</f>
        <v>66678.91793395218</v>
      </c>
      <c r="AD37" s="392"/>
      <c r="AE37" s="392">
        <f>AE11-AE35</f>
        <v>62339.850335427094</v>
      </c>
      <c r="AF37" s="392"/>
      <c r="AG37" s="392">
        <f>AG11-AG35</f>
        <v>57651.032127798302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Permanent Loan </v>
      </c>
      <c r="B40" s="395"/>
      <c r="C40" s="389"/>
      <c r="D40" s="380"/>
      <c r="E40" s="388">
        <f>Application!AF618</f>
        <v>46117.142857142855</v>
      </c>
      <c r="F40" s="388"/>
      <c r="G40" s="388">
        <f>$E$40</f>
        <v>46117.142857142855</v>
      </c>
      <c r="H40" s="388"/>
      <c r="I40" s="388">
        <f>$E$40</f>
        <v>46117.142857142855</v>
      </c>
      <c r="J40" s="388"/>
      <c r="K40" s="388">
        <f>$E$40</f>
        <v>46117.142857142855</v>
      </c>
      <c r="L40" s="388"/>
      <c r="M40" s="388">
        <f>$E$40</f>
        <v>46117.142857142855</v>
      </c>
      <c r="N40" s="388"/>
      <c r="O40" s="388">
        <f>$E$40</f>
        <v>46117.142857142855</v>
      </c>
      <c r="P40" s="388"/>
      <c r="Q40" s="388">
        <f>$E$40</f>
        <v>46117.142857142855</v>
      </c>
      <c r="R40" s="388"/>
      <c r="S40" s="388">
        <f>$E$40</f>
        <v>46117.142857142855</v>
      </c>
      <c r="T40" s="388"/>
      <c r="U40" s="388">
        <f>$E$40</f>
        <v>46117.142857142855</v>
      </c>
      <c r="V40" s="388"/>
      <c r="W40" s="388">
        <f>$E$40</f>
        <v>46117.142857142855</v>
      </c>
      <c r="X40" s="388"/>
      <c r="Y40" s="388">
        <f>$E$40</f>
        <v>46117.142857142855</v>
      </c>
      <c r="Z40" s="388"/>
      <c r="AA40" s="388">
        <f>$E$40</f>
        <v>46117.142857142855</v>
      </c>
      <c r="AB40" s="388"/>
      <c r="AC40" s="388">
        <f>$E$40</f>
        <v>46117.142857142855</v>
      </c>
      <c r="AD40" s="388"/>
      <c r="AE40" s="388">
        <f>$E$40</f>
        <v>46117.142857142855</v>
      </c>
      <c r="AF40" s="388"/>
      <c r="AG40" s="388">
        <f>$E$40</f>
        <v>46117.142857142855</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46117.142857142855</v>
      </c>
      <c r="F43" s="392"/>
      <c r="G43" s="392">
        <f>SUM(G40:G42)</f>
        <v>46117.142857142855</v>
      </c>
      <c r="H43" s="392"/>
      <c r="I43" s="392">
        <f>SUM(I40:I42)</f>
        <v>46117.142857142855</v>
      </c>
      <c r="J43" s="392"/>
      <c r="K43" s="392">
        <f>SUM(K40:K42)</f>
        <v>46117.142857142855</v>
      </c>
      <c r="L43" s="392"/>
      <c r="M43" s="392">
        <f>SUM(M40:M42)</f>
        <v>46117.142857142855</v>
      </c>
      <c r="N43" s="392"/>
      <c r="O43" s="392">
        <f>SUM(O40:O42)</f>
        <v>46117.142857142855</v>
      </c>
      <c r="P43" s="392"/>
      <c r="Q43" s="392">
        <f>SUM(Q40:Q42)</f>
        <v>46117.142857142855</v>
      </c>
      <c r="R43" s="392"/>
      <c r="S43" s="392">
        <f>SUM(S40:S42)</f>
        <v>46117.142857142855</v>
      </c>
      <c r="T43" s="392"/>
      <c r="U43" s="392">
        <f>SUM(U40:U42)</f>
        <v>46117.142857142855</v>
      </c>
      <c r="V43" s="392"/>
      <c r="W43" s="392">
        <f>SUM(W40:W42)</f>
        <v>46117.142857142855</v>
      </c>
      <c r="X43" s="392"/>
      <c r="Y43" s="392">
        <f>SUM(Y40:Y42)</f>
        <v>46117.142857142855</v>
      </c>
      <c r="Z43" s="392"/>
      <c r="AA43" s="392">
        <f>SUM(AA40:AA42)</f>
        <v>46117.142857142855</v>
      </c>
      <c r="AB43" s="392"/>
      <c r="AC43" s="392">
        <f>SUM(AC40:AC42)</f>
        <v>46117.142857142855</v>
      </c>
      <c r="AD43" s="392"/>
      <c r="AE43" s="392">
        <f>SUM(AE40:AE42)</f>
        <v>46117.142857142855</v>
      </c>
      <c r="AF43" s="392"/>
      <c r="AG43" s="392">
        <f>SUM(AG40:AG42)</f>
        <v>46117.142857142855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50728.857142857145</v>
      </c>
      <c r="F45" s="392"/>
      <c r="G45" s="392">
        <f>G37-G43</f>
        <v>49475.477142857257</v>
      </c>
      <c r="H45" s="392"/>
      <c r="I45" s="392">
        <f>I37-I43</f>
        <v>48031.091592857134</v>
      </c>
      <c r="J45" s="392"/>
      <c r="K45" s="392">
        <f>K37-K43</f>
        <v>46385.336867357008</v>
      </c>
      <c r="L45" s="392"/>
      <c r="M45" s="392">
        <f>M37-M43</f>
        <v>44527.394653183277</v>
      </c>
      <c r="N45" s="392"/>
      <c r="O45" s="392">
        <f>O37-O43</f>
        <v>42445.973736400352</v>
      </c>
      <c r="P45" s="392"/>
      <c r="Q45" s="392">
        <f>Q37-Q43</f>
        <v>40129.291094288565</v>
      </c>
      <c r="R45" s="392"/>
      <c r="S45" s="392">
        <f>S37-S43</f>
        <v>37565.052266630679</v>
      </c>
      <c r="T45" s="392"/>
      <c r="U45" s="392">
        <f>U37-U43</f>
        <v>34740.430979606215</v>
      </c>
      <c r="V45" s="392"/>
      <c r="W45" s="392">
        <f>W37-W43</f>
        <v>31642.047994626671</v>
      </c>
      <c r="X45" s="392"/>
      <c r="Y45" s="392">
        <f>Y37-Y43</f>
        <v>28255.949153441339</v>
      </c>
      <c r="Z45" s="392"/>
      <c r="AA45" s="392">
        <f>AA37-AA43</f>
        <v>24567.582589789512</v>
      </c>
      <c r="AB45" s="392"/>
      <c r="AC45" s="392">
        <f>AC37-AC43</f>
        <v>20561.775076809325</v>
      </c>
      <c r="AD45" s="392"/>
      <c r="AE45" s="392">
        <f>AE37-AE43</f>
        <v>16222.707478284239</v>
      </c>
      <c r="AF45" s="392"/>
      <c r="AG45" s="392">
        <f>AG37-AG43</f>
        <v>11533.889270655447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7.5516340870038626E-2</v>
      </c>
      <c r="F47" s="396"/>
      <c r="G47" s="396">
        <f>G45/(G4+G6+G8)</f>
        <v>7.1854171412637585E-2</v>
      </c>
      <c r="H47" s="396"/>
      <c r="I47" s="396">
        <f>I45/(I4+I6+I8)</f>
        <v>6.8055085808821053E-2</v>
      </c>
      <c r="J47" s="396"/>
      <c r="K47" s="396">
        <f>K45/(K4+K6+K8)</f>
        <v>6.4120216283109793E-2</v>
      </c>
      <c r="L47" s="396"/>
      <c r="M47" s="396">
        <f>M45/(M4+M6+M8)</f>
        <v>6.0050645911195306E-2</v>
      </c>
      <c r="N47" s="396"/>
      <c r="O47" s="396">
        <f>O45/(O4+O6+O8)</f>
        <v>5.5847409608607859E-2</v>
      </c>
      <c r="P47" s="396"/>
      <c r="Q47" s="396">
        <f>Q45/(Q4+Q6+Q8)</f>
        <v>5.1511495093220533E-2</v>
      </c>
      <c r="R47" s="396"/>
      <c r="S47" s="396">
        <f>S45/(S4+S6+S8)</f>
        <v>4.7043843822210302E-2</v>
      </c>
      <c r="T47" s="396"/>
      <c r="U47" s="396">
        <f>U45/(U4+U6+U8)</f>
        <v>4.2445351904073947E-2</v>
      </c>
      <c r="V47" s="396"/>
      <c r="W47" s="396">
        <f>W45/(W4+W6+W8)</f>
        <v>3.7716870986288835E-2</v>
      </c>
      <c r="X47" s="396"/>
      <c r="Y47" s="396">
        <f>Y45/(Y4+Y6+Y8)</f>
        <v>3.2859209119197021E-2</v>
      </c>
      <c r="Z47" s="396"/>
      <c r="AA47" s="396">
        <f>AA45/(AA4+AA6+AA8)</f>
        <v>2.7873131596662531E-2</v>
      </c>
      <c r="AB47" s="396"/>
      <c r="AC47" s="396">
        <f>AC45/(AC4+AC6+AC8)</f>
        <v>2.2759361774055509E-2</v>
      </c>
      <c r="AD47" s="396"/>
      <c r="AE47" s="396">
        <f>AE45/(AE4+AE6+AE8)</f>
        <v>1.7518581864090235E-2</v>
      </c>
      <c r="AF47" s="396"/>
      <c r="AG47" s="396">
        <f>AG45/(AG4+AG6+AG8)</f>
        <v>1.2151433711037989E-2</v>
      </c>
      <c r="AH47" s="396"/>
      <c r="AI47" s="396"/>
    </row>
    <row r="48" spans="1:35" ht="14.25">
      <c r="A48" s="396" t="s">
        <v>1134</v>
      </c>
      <c r="B48" s="396"/>
      <c r="C48" s="389"/>
      <c r="D48" s="396"/>
      <c r="E48" s="396">
        <f>E45/E43</f>
        <v>1.1000000000000001</v>
      </c>
      <c r="F48" s="396"/>
      <c r="G48" s="396">
        <f>G45/G43</f>
        <v>1.0728218202094071</v>
      </c>
      <c r="H48" s="396"/>
      <c r="I48" s="396">
        <f>I45/I43</f>
        <v>1.0415018931602749</v>
      </c>
      <c r="J48" s="396"/>
      <c r="K48" s="396">
        <f>K45/K43</f>
        <v>1.0058154949244131</v>
      </c>
      <c r="L48" s="396"/>
      <c r="M48" s="396">
        <f>M45/M43</f>
        <v>0.96552804216678945</v>
      </c>
      <c r="N48" s="396"/>
      <c r="O48" s="396">
        <f>O45/O43</f>
        <v>0.92039469721455447</v>
      </c>
      <c r="P48" s="396"/>
      <c r="Q48" s="396">
        <f>Q45/Q43</f>
        <v>0.87015995805718349</v>
      </c>
      <c r="R48" s="396"/>
      <c r="S48" s="396">
        <f>S45/S43</f>
        <v>0.8145572327192081</v>
      </c>
      <c r="T48" s="396"/>
      <c r="U48" s="396">
        <f>U45/U43</f>
        <v>0.75330839742656441</v>
      </c>
      <c r="V48" s="396"/>
      <c r="W48" s="396">
        <f>W45/W43</f>
        <v>0.68612333796662761</v>
      </c>
      <c r="X48" s="396"/>
      <c r="Y48" s="396">
        <f>Y45/Y43</f>
        <v>0.6126994736202509</v>
      </c>
      <c r="Z48" s="396"/>
      <c r="AA48" s="396">
        <f>AA45/AA43</f>
        <v>0.53272126302127065</v>
      </c>
      <c r="AB48" s="396"/>
      <c r="AC48" s="396">
        <f>AC45/AC43</f>
        <v>0.44585969127583569</v>
      </c>
      <c r="AD48" s="396"/>
      <c r="AE48" s="396">
        <f>AE45/AE43</f>
        <v>0.35177173764943215</v>
      </c>
      <c r="AF48" s="396"/>
      <c r="AG48" s="396">
        <f>AG45/AG43</f>
        <v>0.2500998231044797</v>
      </c>
      <c r="AH48" s="396"/>
      <c r="AI48" s="396"/>
    </row>
    <row r="49" spans="1:35" ht="14.25">
      <c r="A49" s="397" t="s">
        <v>1135</v>
      </c>
      <c r="B49" s="397"/>
      <c r="C49" s="398"/>
      <c r="D49" s="397"/>
      <c r="E49" s="397">
        <f>E37/E43</f>
        <v>2.1</v>
      </c>
      <c r="F49" s="397"/>
      <c r="G49" s="397">
        <f>G37/G43</f>
        <v>2.0728218202094073</v>
      </c>
      <c r="H49" s="397"/>
      <c r="I49" s="397">
        <f>I37/I43</f>
        <v>2.0415018931602749</v>
      </c>
      <c r="J49" s="397"/>
      <c r="K49" s="397">
        <f>K37/K43</f>
        <v>2.0058154949244131</v>
      </c>
      <c r="L49" s="397"/>
      <c r="M49" s="397">
        <f>M37/M43</f>
        <v>1.9655280421667893</v>
      </c>
      <c r="N49" s="397"/>
      <c r="O49" s="397">
        <f>O37/O43</f>
        <v>1.9203946972145545</v>
      </c>
      <c r="P49" s="397"/>
      <c r="Q49" s="397">
        <f>Q37/Q43</f>
        <v>1.8701599580571835</v>
      </c>
      <c r="R49" s="397"/>
      <c r="S49" s="397">
        <f>S37/S43</f>
        <v>1.8145572327192081</v>
      </c>
      <c r="T49" s="397"/>
      <c r="U49" s="397">
        <f>U37/U43</f>
        <v>1.7533083974265644</v>
      </c>
      <c r="V49" s="397"/>
      <c r="W49" s="397">
        <f>W37/W43</f>
        <v>1.6861233379666276</v>
      </c>
      <c r="X49" s="397"/>
      <c r="Y49" s="397">
        <f>Y37/Y43</f>
        <v>1.6126994736202509</v>
      </c>
      <c r="Z49" s="397"/>
      <c r="AA49" s="397">
        <f>AA37/AA43</f>
        <v>1.5327212630212705</v>
      </c>
      <c r="AB49" s="397"/>
      <c r="AC49" s="397">
        <f>AC37/AC43</f>
        <v>1.4458596912758357</v>
      </c>
      <c r="AD49" s="397"/>
      <c r="AE49" s="397">
        <f>AE37/AE43</f>
        <v>1.351771737649432</v>
      </c>
      <c r="AF49" s="397"/>
      <c r="AG49" s="397">
        <f>AG37/AG43</f>
        <v>1.2500998231044798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50728.857142857145</v>
      </c>
      <c r="F60" s="378"/>
      <c r="G60" s="378">
        <f>G45-G58</f>
        <v>49475.477142857257</v>
      </c>
      <c r="H60" s="378"/>
      <c r="I60" s="378">
        <f>I45-I58</f>
        <v>48031.091592857134</v>
      </c>
      <c r="J60" s="378"/>
      <c r="K60" s="378">
        <f>K45-K58</f>
        <v>46385.336867357008</v>
      </c>
      <c r="L60" s="378"/>
      <c r="M60" s="378">
        <f>M45-M58</f>
        <v>44527.394653183277</v>
      </c>
      <c r="N60" s="378"/>
      <c r="O60" s="378">
        <f>O45-O58</f>
        <v>42445.973736400352</v>
      </c>
      <c r="P60" s="378"/>
      <c r="Q60" s="378">
        <f>Q45-Q58</f>
        <v>40129.291094288565</v>
      </c>
      <c r="R60" s="378"/>
      <c r="S60" s="378">
        <f>S45-S58</f>
        <v>37565.052266630679</v>
      </c>
      <c r="T60" s="378"/>
      <c r="U60" s="378">
        <f>U45-U58</f>
        <v>34740.430979606215</v>
      </c>
      <c r="V60" s="378"/>
      <c r="W60" s="378">
        <f>W45-W58</f>
        <v>31642.047994626671</v>
      </c>
      <c r="X60" s="378"/>
      <c r="Y60" s="378">
        <f>Y45-Y58</f>
        <v>28255.949153441339</v>
      </c>
      <c r="Z60" s="378"/>
      <c r="AA60" s="378">
        <f>AA45-AA58</f>
        <v>24567.582589789512</v>
      </c>
      <c r="AB60" s="378"/>
      <c r="AC60" s="378">
        <f>AC45-AC58</f>
        <v>20561.775076809325</v>
      </c>
      <c r="AD60" s="378"/>
      <c r="AE60" s="378">
        <f>AE45-AE58</f>
        <v>16222.707478284239</v>
      </c>
      <c r="AF60" s="378"/>
      <c r="AG60" s="378">
        <f>AG45-AG58</f>
        <v>11533.889270655447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50728.857142857145</v>
      </c>
      <c r="F72" s="384"/>
      <c r="G72" s="378">
        <f>G60-G62-G70</f>
        <v>49475.477142857257</v>
      </c>
      <c r="H72" s="384"/>
      <c r="I72" s="378">
        <f>I60-I62-I70</f>
        <v>48031.091592857134</v>
      </c>
      <c r="J72" s="384"/>
      <c r="K72" s="378">
        <f>K60-K62-K70</f>
        <v>46385.336867357008</v>
      </c>
      <c r="L72" s="384"/>
      <c r="M72" s="378">
        <f>M60-M62-M70</f>
        <v>44527.394653183277</v>
      </c>
      <c r="N72" s="384"/>
      <c r="O72" s="378">
        <f>O60-O62-O70</f>
        <v>42445.973736400352</v>
      </c>
      <c r="P72" s="384"/>
      <c r="Q72" s="378">
        <f>Q60-Q62-Q70</f>
        <v>40129.291094288565</v>
      </c>
      <c r="R72" s="384"/>
      <c r="S72" s="378">
        <f>S60-S62-S70</f>
        <v>37565.052266630679</v>
      </c>
      <c r="T72" s="384"/>
      <c r="U72" s="378">
        <f>U60-U62-U70</f>
        <v>34740.430979606215</v>
      </c>
      <c r="V72" s="384"/>
      <c r="W72" s="378">
        <f>W60-W62-W70</f>
        <v>31642.047994626671</v>
      </c>
      <c r="X72" s="384"/>
      <c r="Y72" s="378">
        <f>Y60-Y62-Y70</f>
        <v>28255.949153441339</v>
      </c>
      <c r="Z72" s="384"/>
      <c r="AA72" s="378">
        <f>AA60-AA62-AA70</f>
        <v>24567.582589789512</v>
      </c>
      <c r="AB72" s="384"/>
      <c r="AC72" s="378">
        <f>AC60-AC62-AC70</f>
        <v>20561.775076809325</v>
      </c>
      <c r="AD72" s="384"/>
      <c r="AE72" s="378">
        <f>AE60-AE62-AE70</f>
        <v>16222.707478284239</v>
      </c>
      <c r="AF72" s="384"/>
      <c r="AG72" s="378">
        <f>AG60-AG62-AG70</f>
        <v>11533.889270655447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2" t="s">
        <v>1216</v>
      </c>
      <c r="B1" s="1942"/>
      <c r="C1" s="1942"/>
      <c r="D1" s="1942"/>
      <c r="E1" s="1942"/>
      <c r="F1" s="1942"/>
      <c r="G1" s="1942"/>
      <c r="H1" s="1942"/>
      <c r="I1" s="1942"/>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14</v>
      </c>
      <c r="C4" s="609">
        <f>Application!$O692</f>
        <v>427</v>
      </c>
      <c r="D4" s="610"/>
      <c r="E4" s="949">
        <f>+[1]EVERYTHING!$R$26-[1]EVERYTHING!$V$12</f>
        <v>1581</v>
      </c>
      <c r="F4" s="609">
        <f>$E4*$B4</f>
        <v>22134</v>
      </c>
      <c r="G4" s="610"/>
      <c r="H4" s="609">
        <f>IF($E4=0,0,MAX($E4-$C4,0))</f>
        <v>1154</v>
      </c>
      <c r="I4" s="609">
        <f>IF($H4=0,0,($H4*$B4))</f>
        <v>16156</v>
      </c>
    </row>
    <row r="5" spans="1:9">
      <c r="A5" s="609" t="str">
        <f>Application!$B693</f>
        <v>1 Bedroom</v>
      </c>
      <c r="B5" s="950">
        <f>Application!$G693</f>
        <v>9</v>
      </c>
      <c r="C5" s="609">
        <f>Application!$O693</f>
        <v>689</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35</v>
      </c>
      <c r="C6" s="609">
        <f>Application!$O694</f>
        <v>777</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472488</v>
      </c>
      <c r="D30" s="610"/>
      <c r="E30" s="610"/>
      <c r="F30" s="613">
        <f>SUM(F4:F28)*12</f>
        <v>265608</v>
      </c>
      <c r="G30" s="614"/>
      <c r="H30" s="612"/>
      <c r="I30" s="613">
        <f>SUM(I4:I28)*12</f>
        <v>193872</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1145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33422765.945645884</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2" t="s">
        <v>1425</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08"/>
      <c r="V20" s="1308"/>
      <c r="W20" s="1308"/>
      <c r="X20" s="1308"/>
      <c r="Y20" s="1582">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Credits'!E21</f>
        <v>0</v>
      </c>
      <c r="U21" s="1237"/>
      <c r="V21" s="1237"/>
      <c r="W21" s="1237"/>
      <c r="X21" s="1237"/>
      <c r="Y21" s="1060">
        <f>'Basis &amp; Credits'!J21</f>
        <v>0</v>
      </c>
      <c r="Z21" s="1237"/>
      <c r="AA21" s="1237"/>
      <c r="AB21" s="1237"/>
      <c r="AC21" s="1237"/>
      <c r="AD21" s="1237">
        <f>'Basis &amp; Credits'!O21</f>
        <v>0</v>
      </c>
      <c r="AE21" s="1237"/>
      <c r="AF21" s="1237"/>
      <c r="AG21" s="1237"/>
      <c r="AH21" s="1237"/>
      <c r="AI21" s="1237">
        <f>'Basis &amp; Credits'!T21</f>
        <v>5644988</v>
      </c>
      <c r="AJ21" s="1237"/>
      <c r="AK21" s="1237"/>
      <c r="AL21" s="1237"/>
      <c r="AM21" s="1237"/>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-5644988</v>
      </c>
      <c r="AJ22" s="1618"/>
      <c r="AK22" s="1618"/>
      <c r="AL22" s="1618"/>
      <c r="AM22" s="1618"/>
    </row>
    <row r="23" spans="1:39" ht="12.95" customHeight="1">
      <c r="B23" s="1089" t="s">
        <v>808</v>
      </c>
      <c r="C23" s="1090"/>
      <c r="D23" s="1090"/>
      <c r="E23" s="1090"/>
      <c r="F23" s="1090"/>
      <c r="G23" s="1090"/>
      <c r="H23" s="1090"/>
      <c r="I23" s="1090"/>
      <c r="J23" s="1090"/>
      <c r="K23" s="1090"/>
      <c r="L23" s="1090"/>
      <c r="M23" s="1090"/>
      <c r="N23" s="1090"/>
      <c r="O23" s="1090"/>
      <c r="P23" s="1090"/>
      <c r="Q23" s="1090"/>
      <c r="R23" s="1090"/>
      <c r="S23" s="1092"/>
      <c r="T23" s="1582">
        <f>T11+T22</f>
        <v>33422765.945645884</v>
      </c>
      <c r="U23" s="1308"/>
      <c r="V23" s="1308"/>
      <c r="W23" s="1308"/>
      <c r="X23" s="1308"/>
      <c r="Y23" s="1582">
        <f>Y11+Y22</f>
        <v>0</v>
      </c>
      <c r="Z23" s="1308"/>
      <c r="AA23" s="1308"/>
      <c r="AB23" s="1308"/>
      <c r="AC23" s="1308"/>
      <c r="AD23" s="1582">
        <f>AD11+AD22</f>
        <v>0</v>
      </c>
      <c r="AE23" s="1308"/>
      <c r="AF23" s="1308"/>
      <c r="AG23" s="1308"/>
      <c r="AH23" s="1308"/>
      <c r="AI23" s="1582">
        <f>AI11+AI22</f>
        <v>-5644988</v>
      </c>
      <c r="AJ23" s="1308"/>
      <c r="AK23" s="1308"/>
      <c r="AL23" s="1308"/>
      <c r="AM23" s="1308"/>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3">
        <f>T23*T25</f>
        <v>33422765.945645884</v>
      </c>
      <c r="U26" s="1594"/>
      <c r="V26" s="1594"/>
      <c r="W26" s="1594"/>
      <c r="X26" s="1594"/>
      <c r="Y26" s="1233">
        <f>Y23*Y25</f>
        <v>0</v>
      </c>
      <c r="Z26" s="1594"/>
      <c r="AA26" s="1594"/>
      <c r="AB26" s="1594"/>
      <c r="AC26" s="1594"/>
      <c r="AD26" s="1233">
        <f>AD23*AD25</f>
        <v>0</v>
      </c>
      <c r="AE26" s="1594"/>
      <c r="AF26" s="1594"/>
      <c r="AG26" s="1594"/>
      <c r="AH26" s="1594"/>
      <c r="AI26" s="1233">
        <f>AI23*AI25</f>
        <v>-5644988</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3">
        <f>IF(ISERROR((T26*T27)),0,(T26*T27))</f>
        <v>33422765.945645884</v>
      </c>
      <c r="U28" s="1594"/>
      <c r="V28" s="1594"/>
      <c r="W28" s="1594"/>
      <c r="X28" s="1594"/>
      <c r="Y28" s="1233">
        <f>IF(ISERROR((Y26*Y27)),0,(Y26*Y27))</f>
        <v>0</v>
      </c>
      <c r="Z28" s="1594"/>
      <c r="AA28" s="1594"/>
      <c r="AB28" s="1594"/>
      <c r="AC28" s="1594"/>
      <c r="AD28" s="1233">
        <f>IF(ISERROR((AD26*AD27)),0,(AD26*AD27))</f>
        <v>0</v>
      </c>
      <c r="AE28" s="1594"/>
      <c r="AF28" s="1594"/>
      <c r="AG28" s="1594"/>
      <c r="AH28" s="1594"/>
      <c r="AI28" s="1233">
        <f>IF(ISERROR((AI26*AI27)),0,(AI26*AI27))</f>
        <v>-5644988</v>
      </c>
      <c r="AJ28" s="1594"/>
      <c r="AK28" s="1594"/>
      <c r="AL28" s="1594"/>
      <c r="AM28" s="1594"/>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27777777.945645884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3" t="s">
        <v>45</v>
      </c>
      <c r="AE35" s="1223"/>
      <c r="AF35" s="1223"/>
      <c r="AG35" s="1223"/>
      <c r="AH35" s="1223"/>
    </row>
    <row r="36" spans="1:40" ht="12.95" customHeight="1">
      <c r="B36" s="204"/>
      <c r="X36" s="71"/>
      <c r="Y36" s="1585"/>
      <c r="Z36" s="1585"/>
      <c r="AA36" s="1585"/>
      <c r="AB36" s="1585"/>
      <c r="AC36" s="1585"/>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0"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2.95"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4">
        <v>0.09</v>
      </c>
      <c r="Z39" s="1944"/>
      <c r="AA39" s="1944"/>
      <c r="AB39" s="1944"/>
      <c r="AC39" s="1944"/>
      <c r="AD39" s="1581">
        <v>0.04</v>
      </c>
      <c r="AE39" s="1581"/>
      <c r="AF39" s="1581"/>
      <c r="AG39" s="1581"/>
      <c r="AH39" s="1581"/>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2">
        <f>ROUND(AD38*AD39,0)</f>
        <v>0</v>
      </c>
      <c r="AE40" s="1308"/>
      <c r="AF40" s="1308"/>
      <c r="AG40" s="1308"/>
      <c r="AH40" s="1308"/>
    </row>
    <row r="41" spans="1:40"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2.95"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37867644.370363191</v>
      </c>
      <c r="AC46" s="1149"/>
      <c r="AD46" s="1149"/>
      <c r="AE46" s="1149"/>
      <c r="AF46" s="1150"/>
    </row>
    <row r="47" spans="1:40" ht="12.95" customHeight="1">
      <c r="D47" s="3" t="s">
        <v>876</v>
      </c>
      <c r="AB47" s="1148">
        <f>Application!AG630-MIN('Sources and Uses Budget'!B15,Application!AG385)</f>
        <v>0</v>
      </c>
      <c r="AC47" s="1149"/>
      <c r="AD47" s="1149"/>
      <c r="AE47" s="1149"/>
      <c r="AF47" s="1150"/>
    </row>
    <row r="48" spans="1:40" ht="12.95" customHeight="1">
      <c r="D48" s="3" t="s">
        <v>402</v>
      </c>
      <c r="AB48" s="1148">
        <f>AB46-AB47</f>
        <v>37867644.370363191</v>
      </c>
      <c r="AC48" s="1149"/>
      <c r="AD48" s="1149"/>
      <c r="AE48" s="1149"/>
      <c r="AF48" s="1150"/>
    </row>
    <row r="49" spans="1:40" ht="12.95" customHeight="1">
      <c r="D49" s="3" t="s">
        <v>911</v>
      </c>
      <c r="AA49" s="34"/>
      <c r="AB49" s="1588"/>
      <c r="AC49" s="1589"/>
      <c r="AD49" s="1589"/>
      <c r="AE49" s="1589"/>
      <c r="AF49" s="1590"/>
    </row>
    <row r="50" spans="1:40" s="324" customFormat="1" ht="12.95"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0</v>
      </c>
      <c r="AC53" s="1149"/>
      <c r="AD53" s="1149"/>
      <c r="AE53" s="1149"/>
      <c r="AF53" s="1150"/>
    </row>
    <row r="54" spans="1:40" ht="12.95" customHeight="1">
      <c r="D54" s="3" t="s">
        <v>590</v>
      </c>
      <c r="AB54" s="1148">
        <f>(AB53/10)</f>
        <v>0</v>
      </c>
      <c r="AC54" s="1149"/>
      <c r="AD54" s="1149"/>
      <c r="AE54" s="1149"/>
      <c r="AF54" s="1150"/>
    </row>
    <row r="55" spans="1:40" ht="12.95" customHeight="1">
      <c r="D55" s="3" t="s">
        <v>361</v>
      </c>
      <c r="AB55" s="1148">
        <f>(IF((Y41&lt;AB54),Y41,AB54))</f>
        <v>0</v>
      </c>
      <c r="AC55" s="1149"/>
      <c r="AD55" s="1149"/>
      <c r="AE55" s="1149"/>
      <c r="AF55" s="1150"/>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37867644.370363191</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8">
        <f>Y28</f>
        <v>0</v>
      </c>
      <c r="Z63" s="1591"/>
      <c r="AA63" s="1591"/>
      <c r="AB63" s="1591"/>
      <c r="AC63" s="1591"/>
      <c r="AD63" s="1308">
        <f>AI28</f>
        <v>-5644988</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983</v>
      </c>
      <c r="Y67" s="1308">
        <f>ROUND(Y63*Y66,0)</f>
        <v>0</v>
      </c>
      <c r="Z67" s="1591"/>
      <c r="AA67" s="1591"/>
      <c r="AB67" s="1591"/>
      <c r="AC67" s="1591"/>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8"/>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0</v>
      </c>
      <c r="AC75" s="1215"/>
      <c r="AD75" s="1215"/>
      <c r="AE75" s="1215"/>
      <c r="AF75" s="1215"/>
    </row>
    <row r="76" spans="1:34" ht="12.95" customHeight="1">
      <c r="C76" s="3"/>
      <c r="D76" s="3" t="s">
        <v>113</v>
      </c>
      <c r="AB76" s="1210">
        <f>IF((Y67+AD67&lt;AB75),Y67+AD67,AB75)</f>
        <v>0</v>
      </c>
      <c r="AC76" s="1211"/>
      <c r="AD76" s="1211"/>
      <c r="AE76" s="1211"/>
      <c r="AF76" s="1212"/>
    </row>
    <row r="77" spans="1:34" ht="12.95" customHeight="1">
      <c r="C77" s="3"/>
      <c r="D77" s="3" t="s">
        <v>984</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37867644.370363191</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1415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33422765.945645884</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2" t="s">
        <v>1425</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08"/>
      <c r="V20" s="1308"/>
      <c r="W20" s="1308"/>
      <c r="X20" s="1308"/>
      <c r="Y20" s="1582">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Credits'!T21</f>
        <v>5644988</v>
      </c>
      <c r="U21" s="1237"/>
      <c r="V21" s="1237"/>
      <c r="W21" s="1237"/>
      <c r="X21" s="1237"/>
      <c r="Y21" s="1060">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7">
        <f>(T20+T21)*-1</f>
        <v>-5644988</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089" t="s">
        <v>808</v>
      </c>
      <c r="C23" s="1090"/>
      <c r="D23" s="1090"/>
      <c r="E23" s="1090"/>
      <c r="F23" s="1090"/>
      <c r="G23" s="1090"/>
      <c r="H23" s="1090"/>
      <c r="I23" s="1090"/>
      <c r="J23" s="1090"/>
      <c r="K23" s="1090"/>
      <c r="L23" s="1090"/>
      <c r="M23" s="1090"/>
      <c r="N23" s="1090"/>
      <c r="O23" s="1090"/>
      <c r="P23" s="1090"/>
      <c r="Q23" s="1090"/>
      <c r="R23" s="1090"/>
      <c r="S23" s="1092"/>
      <c r="T23" s="1582">
        <f>T11+T22</f>
        <v>27777777.945645884</v>
      </c>
      <c r="U23" s="1308"/>
      <c r="V23" s="1308"/>
      <c r="W23" s="1308"/>
      <c r="X23" s="1308"/>
      <c r="Y23" s="1582">
        <f>Y11+Y22</f>
        <v>0</v>
      </c>
      <c r="Z23" s="1308"/>
      <c r="AA23" s="1308"/>
      <c r="AB23" s="1308"/>
      <c r="AC23" s="1308"/>
      <c r="AD23" s="1582">
        <f>AD11+AD22</f>
        <v>0</v>
      </c>
      <c r="AE23" s="1308"/>
      <c r="AF23" s="1308"/>
      <c r="AG23" s="1308"/>
      <c r="AH23" s="1308"/>
      <c r="AI23" s="1582">
        <f>AI11+AI22</f>
        <v>0</v>
      </c>
      <c r="AJ23" s="1308"/>
      <c r="AK23" s="1308"/>
      <c r="AL23" s="1308"/>
      <c r="AM23" s="1308"/>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3">
        <f>T23*T25</f>
        <v>27777777.945645884</v>
      </c>
      <c r="U26" s="1594"/>
      <c r="V26" s="1594"/>
      <c r="W26" s="1594"/>
      <c r="X26" s="1594"/>
      <c r="Y26" s="1233">
        <f>Y23*Y25</f>
        <v>0</v>
      </c>
      <c r="Z26" s="1594"/>
      <c r="AA26" s="1594"/>
      <c r="AB26" s="1594"/>
      <c r="AC26" s="1594"/>
      <c r="AD26" s="1233">
        <f>AD23*AD25</f>
        <v>0</v>
      </c>
      <c r="AE26" s="1594"/>
      <c r="AF26" s="1594"/>
      <c r="AG26" s="1594"/>
      <c r="AH26" s="1594"/>
      <c r="AI26" s="1233">
        <f>AI23*AI25</f>
        <v>0</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3">
        <f>IF(ISERROR((T26*T27)),0,(T26*T27))</f>
        <v>27777777.945645884</v>
      </c>
      <c r="U28" s="1594"/>
      <c r="V28" s="1594"/>
      <c r="W28" s="1594"/>
      <c r="X28" s="1594"/>
      <c r="Y28" s="1233">
        <f>IF(ISERROR((Y26*Y27)),0,(Y26*Y27))</f>
        <v>0</v>
      </c>
      <c r="Z28" s="1594"/>
      <c r="AA28" s="1594"/>
      <c r="AB28" s="1594"/>
      <c r="AC28" s="1594"/>
      <c r="AD28" s="1233">
        <f>IF(ISERROR((AD26*AD27)),0,(AD26*AD27))</f>
        <v>0</v>
      </c>
      <c r="AE28" s="1594"/>
      <c r="AF28" s="1594"/>
      <c r="AG28" s="1594"/>
      <c r="AH28" s="1594"/>
      <c r="AI28" s="1233">
        <f>IF(ISERROR((AI26*AI27)),0,(AI26*AI27))</f>
        <v>0</v>
      </c>
      <c r="AJ28" s="1594"/>
      <c r="AK28" s="1594"/>
      <c r="AL28" s="1594"/>
      <c r="AM28" s="1594"/>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27777777.945645884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3" t="s">
        <v>45</v>
      </c>
      <c r="AE35" s="1223"/>
      <c r="AF35" s="1223"/>
      <c r="AG35" s="1223"/>
      <c r="AH35" s="1223"/>
    </row>
    <row r="36" spans="1:40" ht="12.95" customHeight="1">
      <c r="B36" s="204"/>
      <c r="X36" s="71"/>
      <c r="Y36" s="1585"/>
      <c r="Z36" s="1585"/>
      <c r="AA36" s="1585"/>
      <c r="AB36" s="1585"/>
      <c r="AC36" s="1585"/>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0"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2.95"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4">
        <v>0.09</v>
      </c>
      <c r="Z39" s="1944"/>
      <c r="AA39" s="1944"/>
      <c r="AB39" s="1944"/>
      <c r="AC39" s="1944"/>
      <c r="AD39" s="1944">
        <f>'Basis &amp; Credits'!AD39:AH39</f>
        <v>0.04</v>
      </c>
      <c r="AE39" s="1944"/>
      <c r="AF39" s="1944"/>
      <c r="AG39" s="1944"/>
      <c r="AH39" s="1944"/>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2">
        <f>ROUND(AD38*AD39,0)</f>
        <v>0</v>
      </c>
      <c r="AE40" s="1308"/>
      <c r="AF40" s="1308"/>
      <c r="AG40" s="1308"/>
      <c r="AH40" s="1308"/>
    </row>
    <row r="41" spans="1:40"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2.95"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37867644.370363191</v>
      </c>
      <c r="AC46" s="1149"/>
      <c r="AD46" s="1149"/>
      <c r="AE46" s="1149"/>
      <c r="AF46" s="1150"/>
    </row>
    <row r="47" spans="1:40" ht="12.95" customHeight="1">
      <c r="D47" s="3" t="s">
        <v>876</v>
      </c>
      <c r="AB47" s="1148">
        <f>Application!AG630-MIN('Sources and Uses Budget'!B15,Application!AG385)</f>
        <v>0</v>
      </c>
      <c r="AC47" s="1149"/>
      <c r="AD47" s="1149"/>
      <c r="AE47" s="1149"/>
      <c r="AF47" s="1150"/>
    </row>
    <row r="48" spans="1:40" ht="12.95" customHeight="1">
      <c r="D48" s="3" t="s">
        <v>402</v>
      </c>
      <c r="AB48" s="1148">
        <f>AB46-AB47</f>
        <v>37867644.370363191</v>
      </c>
      <c r="AC48" s="1149"/>
      <c r="AD48" s="1149"/>
      <c r="AE48" s="1149"/>
      <c r="AF48" s="1150"/>
    </row>
    <row r="49" spans="1:40" ht="12.95" customHeight="1">
      <c r="D49" s="3" t="s">
        <v>911</v>
      </c>
      <c r="AA49" s="34"/>
      <c r="AB49" s="1588"/>
      <c r="AC49" s="1589"/>
      <c r="AD49" s="1589"/>
      <c r="AE49" s="1589"/>
      <c r="AF49" s="1590"/>
    </row>
    <row r="50" spans="1:40" s="324" customFormat="1" ht="12.95"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0</v>
      </c>
      <c r="AC53" s="1149"/>
      <c r="AD53" s="1149"/>
      <c r="AE53" s="1149"/>
      <c r="AF53" s="1150"/>
    </row>
    <row r="54" spans="1:40" ht="12.95" customHeight="1">
      <c r="D54" s="3" t="s">
        <v>590</v>
      </c>
      <c r="AB54" s="1148">
        <f>(AB53/10)</f>
        <v>0</v>
      </c>
      <c r="AC54" s="1149"/>
      <c r="AD54" s="1149"/>
      <c r="AE54" s="1149"/>
      <c r="AF54" s="1150"/>
    </row>
    <row r="55" spans="1:40" ht="12.95" customHeight="1">
      <c r="D55" s="3" t="s">
        <v>361</v>
      </c>
      <c r="AB55" s="1595">
        <f>(IF((Y41&lt;AB54),Y41,AB54))</f>
        <v>0</v>
      </c>
      <c r="AC55" s="1596"/>
      <c r="AD55" s="1596"/>
      <c r="AE55" s="1596"/>
      <c r="AF55" s="1597"/>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37867644.370363191</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8">
        <f>Y28</f>
        <v>0</v>
      </c>
      <c r="Z63" s="1591"/>
      <c r="AA63" s="1591"/>
      <c r="AB63" s="1591"/>
      <c r="AC63" s="1591"/>
      <c r="AD63" s="1308">
        <f>AI28</f>
        <v>0</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983</v>
      </c>
      <c r="Y67" s="1308">
        <f>ROUND(Y63*Y66,0)</f>
        <v>0</v>
      </c>
      <c r="Z67" s="1591"/>
      <c r="AA67" s="1591"/>
      <c r="AB67" s="1591"/>
      <c r="AC67" s="1591"/>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8"/>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0</v>
      </c>
      <c r="AC75" s="1215"/>
      <c r="AD75" s="1215"/>
      <c r="AE75" s="1215"/>
      <c r="AF75" s="1215"/>
    </row>
    <row r="76" spans="1:34" ht="12.95" customHeight="1">
      <c r="C76" s="3"/>
      <c r="D76" s="3" t="s">
        <v>113</v>
      </c>
      <c r="AB76" s="1210">
        <f>IF((Y67+AD67&lt;AB75),Y67+AD67,AB75)</f>
        <v>0</v>
      </c>
      <c r="AC76" s="1211"/>
      <c r="AD76" s="1211"/>
      <c r="AE76" s="1211"/>
      <c r="AF76" s="1212"/>
    </row>
    <row r="77" spans="1:34" ht="12.95" customHeight="1">
      <c r="C77" s="3"/>
      <c r="D77" s="3" t="s">
        <v>984</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37867644.370363191</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1424079</v>
      </c>
      <c r="C5" s="330">
        <f>'Sources and Uses Budget'!C4</f>
        <v>1424079</v>
      </c>
      <c r="D5" s="330">
        <f>'Sources and Uses Budget'!C4</f>
        <v>1424079</v>
      </c>
      <c r="E5" s="332">
        <f>C5-B5</f>
        <v>0</v>
      </c>
      <c r="F5" s="331"/>
      <c r="G5" s="331"/>
    </row>
    <row r="6" spans="1:7" s="575" customFormat="1" ht="12.75">
      <c r="A6" s="891" t="s">
        <v>999</v>
      </c>
      <c r="B6" s="330">
        <f>'Sources and Uses Budget'!C5</f>
        <v>285000</v>
      </c>
      <c r="C6" s="330">
        <f>'Sources and Uses Budget'!C5</f>
        <v>285000</v>
      </c>
      <c r="D6" s="330">
        <f>'Sources and Uses Budget'!C5</f>
        <v>285000</v>
      </c>
      <c r="E6" s="332">
        <f t="shared" ref="E6:E73" si="0">C6-B6</f>
        <v>0</v>
      </c>
      <c r="F6" s="331"/>
      <c r="G6" s="331"/>
    </row>
    <row r="7" spans="1:7" s="575" customFormat="1" ht="12.75">
      <c r="A7" s="891" t="s">
        <v>364</v>
      </c>
      <c r="B7" s="330">
        <f>'Sources and Uses Budget'!C6</f>
        <v>30000</v>
      </c>
      <c r="C7" s="330">
        <f>'Sources and Uses Budget'!C6</f>
        <v>30000</v>
      </c>
      <c r="D7" s="330">
        <f>'Sources and Uses Budget'!C6</f>
        <v>30000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1739079</v>
      </c>
      <c r="C9" s="332">
        <f>SUM(C5:C8)</f>
        <v>1739079</v>
      </c>
      <c r="D9" s="332">
        <f>SUM(D5:D8)</f>
        <v>1739079</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1739079</v>
      </c>
      <c r="C13" s="332">
        <f>SUM(C9+C12)</f>
        <v>1739079</v>
      </c>
      <c r="D13" s="332">
        <f>SUM(D9+D12)</f>
        <v>1739079</v>
      </c>
      <c r="E13" s="332">
        <f t="shared" si="0"/>
        <v>0</v>
      </c>
      <c r="F13" s="331"/>
      <c r="G13" s="331"/>
    </row>
    <row r="14" spans="1:7" s="575" customFormat="1" ht="12.75">
      <c r="A14" s="893" t="s">
        <v>1155</v>
      </c>
      <c r="B14" s="330">
        <f>'Sources and Uses Budget'!C13</f>
        <v>60796</v>
      </c>
      <c r="C14" s="330">
        <f>'Sources and Uses Budget'!C13</f>
        <v>60796</v>
      </c>
      <c r="D14" s="330">
        <f>'Sources and Uses Budget'!C13</f>
        <v>60796</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892748</v>
      </c>
      <c r="C30" s="330">
        <f>'Sources and Uses Budget'!C29</f>
        <v>892748</v>
      </c>
      <c r="D30" s="330">
        <f>'Sources and Uses Budget'!C29</f>
        <v>892748</v>
      </c>
      <c r="E30" s="332">
        <f t="shared" si="0"/>
        <v>0</v>
      </c>
      <c r="F30" s="331"/>
      <c r="G30" s="331"/>
    </row>
    <row r="31" spans="1:7" s="575" customFormat="1" ht="12.75">
      <c r="A31" s="239" t="s">
        <v>953</v>
      </c>
      <c r="B31" s="330">
        <f>'Sources and Uses Budget'!C30</f>
        <v>19512384</v>
      </c>
      <c r="C31" s="330">
        <f>'Sources and Uses Budget'!C30</f>
        <v>19512384</v>
      </c>
      <c r="D31" s="330">
        <f>'Sources and Uses Budget'!C30</f>
        <v>19512384</v>
      </c>
      <c r="E31" s="332">
        <f t="shared" si="0"/>
        <v>0</v>
      </c>
      <c r="F31" s="331"/>
      <c r="G31" s="331"/>
    </row>
    <row r="32" spans="1:7" s="575" customFormat="1" ht="12.75">
      <c r="A32" s="239" t="s">
        <v>954</v>
      </c>
      <c r="B32" s="330">
        <f>'Sources and Uses Budget'!C31</f>
        <v>1245764</v>
      </c>
      <c r="C32" s="330">
        <f>'Sources and Uses Budget'!C31</f>
        <v>1245764</v>
      </c>
      <c r="D32" s="330">
        <f>'Sources and Uses Budget'!C31</f>
        <v>1245764</v>
      </c>
      <c r="E32" s="332">
        <f t="shared" si="0"/>
        <v>0</v>
      </c>
      <c r="F32" s="331"/>
      <c r="G32" s="331"/>
    </row>
    <row r="33" spans="1:7" s="575" customFormat="1" ht="12.75">
      <c r="A33" s="239" t="s">
        <v>955</v>
      </c>
      <c r="B33" s="330">
        <f>'Sources and Uses Budget'!C32</f>
        <v>691652</v>
      </c>
      <c r="C33" s="330">
        <f>'Sources and Uses Budget'!C32</f>
        <v>691652</v>
      </c>
      <c r="D33" s="330">
        <f>'Sources and Uses Budget'!C32</f>
        <v>691652</v>
      </c>
      <c r="E33" s="332">
        <f t="shared" si="0"/>
        <v>0</v>
      </c>
      <c r="F33" s="331"/>
      <c r="G33" s="331"/>
    </row>
    <row r="34" spans="1:7" s="575" customFormat="1" ht="12.75">
      <c r="A34" s="239" t="s">
        <v>956</v>
      </c>
      <c r="B34" s="330">
        <f>'Sources and Uses Budget'!C33</f>
        <v>691652</v>
      </c>
      <c r="C34" s="330">
        <f>'Sources and Uses Budget'!C33</f>
        <v>691652</v>
      </c>
      <c r="D34" s="330">
        <f>'Sources and Uses Budget'!C33</f>
        <v>691652</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502800</v>
      </c>
      <c r="C36" s="330">
        <f>'Sources and Uses Budget'!C35</f>
        <v>502800</v>
      </c>
      <c r="D36" s="330">
        <f>'Sources and Uses Budget'!C35</f>
        <v>502800</v>
      </c>
      <c r="E36" s="332">
        <f t="shared" si="0"/>
        <v>0</v>
      </c>
      <c r="F36" s="331"/>
      <c r="G36" s="331"/>
    </row>
    <row r="37" spans="1:7" s="575" customFormat="1" ht="12.75">
      <c r="A37" s="239" t="s">
        <v>2046</v>
      </c>
      <c r="B37" s="330">
        <f>'Sources and Uses Budget'!C36</f>
        <v>82080</v>
      </c>
      <c r="C37" s="330">
        <f>'Sources and Uses Budget'!C36</f>
        <v>82080</v>
      </c>
      <c r="D37" s="330">
        <f>'Sources and Uses Budget'!C36</f>
        <v>82080</v>
      </c>
      <c r="E37" s="332">
        <f t="shared" si="0"/>
        <v>0</v>
      </c>
      <c r="F37" s="331"/>
      <c r="G37" s="331"/>
    </row>
    <row r="38" spans="1:7" s="575" customFormat="1" ht="12.75">
      <c r="A38" s="250" t="s">
        <v>563</v>
      </c>
      <c r="B38" s="330">
        <f>'Sources and Uses Budget'!C37</f>
        <v>170818</v>
      </c>
      <c r="C38" s="330">
        <f>'Sources and Uses Budget'!C37</f>
        <v>170818</v>
      </c>
      <c r="D38" s="330">
        <f>'Sources and Uses Budget'!C37</f>
        <v>170818</v>
      </c>
      <c r="E38" s="332">
        <f>C38-B38</f>
        <v>0</v>
      </c>
      <c r="F38" s="331"/>
      <c r="G38" s="331"/>
    </row>
    <row r="39" spans="1:7" s="575" customFormat="1" ht="12.75">
      <c r="A39" s="894" t="s">
        <v>961</v>
      </c>
      <c r="B39" s="901">
        <f>'Sources and Uses Budget'!C38</f>
        <v>23789898</v>
      </c>
      <c r="C39" s="901">
        <f>'Sources and Uses Budget'!C38</f>
        <v>23789898</v>
      </c>
      <c r="D39" s="901">
        <f>'Sources and Uses Budget'!C38</f>
        <v>23789898</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401120</v>
      </c>
      <c r="C41" s="330">
        <f>'Sources and Uses Budget'!C40</f>
        <v>401120</v>
      </c>
      <c r="D41" s="330">
        <f>'Sources and Uses Budget'!C40</f>
        <v>401120</v>
      </c>
      <c r="E41" s="332">
        <f>C41-B41</f>
        <v>0</v>
      </c>
      <c r="F41" s="331"/>
      <c r="G41" s="331"/>
    </row>
    <row r="42" spans="1:7" s="575" customFormat="1" ht="12.75">
      <c r="A42" s="895" t="s">
        <v>964</v>
      </c>
      <c r="B42" s="330">
        <f>'Sources and Uses Budget'!C41</f>
        <v>221870</v>
      </c>
      <c r="C42" s="330">
        <f>'Sources and Uses Budget'!C41</f>
        <v>221870</v>
      </c>
      <c r="D42" s="330">
        <f>'Sources and Uses Budget'!C41</f>
        <v>221870</v>
      </c>
      <c r="E42" s="332">
        <f>C42-B42</f>
        <v>0</v>
      </c>
      <c r="F42" s="331"/>
      <c r="G42" s="331"/>
    </row>
    <row r="43" spans="1:7" s="575" customFormat="1" ht="12" customHeight="1">
      <c r="A43" s="894" t="s">
        <v>965</v>
      </c>
      <c r="B43" s="901">
        <f>'Sources and Uses Budget'!C42</f>
        <v>622990</v>
      </c>
      <c r="C43" s="901">
        <f>'Sources and Uses Budget'!C42</f>
        <v>622990</v>
      </c>
      <c r="D43" s="901">
        <f>'Sources and Uses Budget'!C42</f>
        <v>622990</v>
      </c>
      <c r="E43" s="332">
        <f>C43-B43</f>
        <v>0</v>
      </c>
      <c r="F43" s="331"/>
      <c r="G43" s="331"/>
    </row>
    <row r="44" spans="1:7" s="575" customFormat="1" ht="12.75">
      <c r="A44" s="894" t="s">
        <v>966</v>
      </c>
      <c r="B44" s="330">
        <f>'Sources and Uses Budget'!C43</f>
        <v>470302</v>
      </c>
      <c r="C44" s="330">
        <f>'Sources and Uses Budget'!C43</f>
        <v>470302</v>
      </c>
      <c r="D44" s="330">
        <f>'Sources and Uses Budget'!C43</f>
        <v>470302</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2320063.8340486838</v>
      </c>
      <c r="C46" s="330">
        <f>'Sources and Uses Budget'!C45</f>
        <v>2320063.8340486838</v>
      </c>
      <c r="D46" s="330">
        <f>'Sources and Uses Budget'!C45</f>
        <v>2320063.8340486838</v>
      </c>
      <c r="E46" s="332">
        <f t="shared" si="0"/>
        <v>0</v>
      </c>
      <c r="F46" s="331"/>
      <c r="G46" s="331"/>
    </row>
    <row r="47" spans="1:7" s="575" customFormat="1" ht="12.75">
      <c r="A47" s="239" t="s">
        <v>969</v>
      </c>
      <c r="B47" s="330">
        <f>'Sources and Uses Budget'!C46</f>
        <v>257565.49729783702</v>
      </c>
      <c r="C47" s="330">
        <f>'Sources and Uses Budget'!C46</f>
        <v>257565.49729783702</v>
      </c>
      <c r="D47" s="330">
        <f>'Sources and Uses Budget'!C46</f>
        <v>257565.49729783702</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65000</v>
      </c>
      <c r="C50" s="330">
        <f>'Sources and Uses Budget'!C49</f>
        <v>65000</v>
      </c>
      <c r="D50" s="330">
        <f>'Sources and Uses Budget'!C49</f>
        <v>65000</v>
      </c>
      <c r="E50" s="332">
        <f t="shared" si="0"/>
        <v>0</v>
      </c>
      <c r="F50" s="331"/>
      <c r="G50" s="331"/>
    </row>
    <row r="51" spans="1:7" s="575" customFormat="1" ht="12.75">
      <c r="A51" s="239" t="s">
        <v>972</v>
      </c>
      <c r="B51" s="330">
        <f>'Sources and Uses Budget'!C50</f>
        <v>0</v>
      </c>
      <c r="C51" s="330">
        <f>'Sources and Uses Budget'!C50</f>
        <v>0</v>
      </c>
      <c r="D51" s="330">
        <f>'Sources and Uses Budget'!C50</f>
        <v>0</v>
      </c>
      <c r="E51" s="332">
        <f t="shared" si="0"/>
        <v>0</v>
      </c>
      <c r="F51" s="331"/>
      <c r="G51" s="331"/>
    </row>
    <row r="52" spans="1:7" s="576" customFormat="1" ht="12.75">
      <c r="A52" s="239" t="s">
        <v>973</v>
      </c>
      <c r="B52" s="330">
        <f>'Sources and Uses Budget'!C51</f>
        <v>839136</v>
      </c>
      <c r="C52" s="330">
        <f>'Sources and Uses Budget'!C51</f>
        <v>839136</v>
      </c>
      <c r="D52" s="330">
        <f>'Sources and Uses Budget'!C51</f>
        <v>839136</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1">
        <f>'Sources and Uses Budget'!C53</f>
        <v>3481765.3313465207</v>
      </c>
      <c r="C54" s="901">
        <f>'Sources and Uses Budget'!C53</f>
        <v>3481765.3313465207</v>
      </c>
      <c r="D54" s="901">
        <f>'Sources and Uses Budget'!C53</f>
        <v>3481765.3313465207</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30316.667588104996</v>
      </c>
      <c r="C56" s="330">
        <f>'Sources and Uses Budget'!C55</f>
        <v>30316.667588104996</v>
      </c>
      <c r="D56" s="330">
        <f>'Sources and Uses Budget'!C55</f>
        <v>30316.667588104996</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20000</v>
      </c>
      <c r="C58" s="330">
        <f>'Sources and Uses Budget'!C57</f>
        <v>20000</v>
      </c>
      <c r="D58" s="330">
        <f>'Sources and Uses Budget'!C57</f>
        <v>20000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20000</v>
      </c>
      <c r="C61" s="330">
        <f>'Sources and Uses Budget'!C60</f>
        <v>20000</v>
      </c>
      <c r="D61" s="330">
        <f>'Sources and Uses Budget'!C60</f>
        <v>20000</v>
      </c>
      <c r="E61" s="332">
        <f t="shared" si="0"/>
        <v>0</v>
      </c>
      <c r="F61" s="331"/>
      <c r="G61" s="331"/>
    </row>
    <row r="62" spans="1:7" s="575" customFormat="1" ht="12.75">
      <c r="A62" s="894" t="s">
        <v>528</v>
      </c>
      <c r="B62" s="901">
        <f>'Sources and Uses Budget'!C61</f>
        <v>70316.667588104989</v>
      </c>
      <c r="C62" s="901">
        <f>'Sources and Uses Budget'!C61</f>
        <v>70316.667588104989</v>
      </c>
      <c r="D62" s="901">
        <f>'Sources and Uses Budget'!C61</f>
        <v>70316.667588104989</v>
      </c>
      <c r="E62" s="332">
        <f t="shared" si="0"/>
        <v>0</v>
      </c>
      <c r="F62" s="331"/>
      <c r="G62" s="331"/>
    </row>
    <row r="63" spans="1:7" s="575" customFormat="1" ht="12.75">
      <c r="A63" s="897" t="s">
        <v>529</v>
      </c>
      <c r="B63" s="901">
        <f>'Sources and Uses Budget'!C62</f>
        <v>30235146.998934623</v>
      </c>
      <c r="C63" s="901">
        <f>'Sources and Uses Budget'!C62</f>
        <v>30235146.998934623</v>
      </c>
      <c r="D63" s="901">
        <f>'Sources and Uses Budget'!C62</f>
        <v>30235146.998934623</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105000</v>
      </c>
      <c r="C69" s="330">
        <f>'Sources and Uses Budget'!C68</f>
        <v>105000</v>
      </c>
      <c r="D69" s="330">
        <f>'Sources and Uses Budget'!C68</f>
        <v>105000</v>
      </c>
      <c r="E69" s="332">
        <f t="shared" si="0"/>
        <v>0</v>
      </c>
      <c r="F69" s="331"/>
      <c r="G69" s="331"/>
    </row>
    <row r="70" spans="1:7" s="575" customFormat="1" ht="12.75">
      <c r="A70" s="243" t="s">
        <v>2051</v>
      </c>
      <c r="B70" s="901">
        <f>'Sources and Uses Budget'!C69</f>
        <v>165000</v>
      </c>
      <c r="C70" s="901">
        <f>'Sources and Uses Budget'!C69</f>
        <v>165000</v>
      </c>
      <c r="D70" s="901">
        <f>'Sources and Uses Budget'!C69</f>
        <v>165000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293729.57142857142</v>
      </c>
      <c r="C75" s="330">
        <f>'Sources and Uses Budget'!C74</f>
        <v>293729.57142857142</v>
      </c>
      <c r="D75" s="330">
        <f>'Sources and Uses Budget'!C74</f>
        <v>293729.57142857142</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293729.57142857142</v>
      </c>
      <c r="C77" s="901">
        <f>'Sources and Uses Budget'!C76</f>
        <v>293729.57142857142</v>
      </c>
      <c r="D77" s="901">
        <f>'Sources and Uses Budget'!C76</f>
        <v>293729.57142857142</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2399281.8000000003</v>
      </c>
      <c r="C79" s="330">
        <f>'Sources and Uses Budget'!C78</f>
        <v>2399281.8000000003</v>
      </c>
      <c r="D79" s="330">
        <f>'Sources and Uses Budget'!C78</f>
        <v>2399281.8000000003</v>
      </c>
      <c r="E79" s="332">
        <f t="shared" ref="E79:E105" si="2">C79-B79</f>
        <v>0</v>
      </c>
      <c r="F79" s="331"/>
      <c r="G79" s="331"/>
    </row>
    <row r="80" spans="1:7" s="575" customFormat="1" ht="12.75">
      <c r="A80" s="895" t="s">
        <v>568</v>
      </c>
      <c r="B80" s="330">
        <f>'Sources and Uses Budget'!C79</f>
        <v>320000</v>
      </c>
      <c r="C80" s="330">
        <f>'Sources and Uses Budget'!C79</f>
        <v>320000</v>
      </c>
      <c r="D80" s="330">
        <f>'Sources and Uses Budget'!C79</f>
        <v>320000</v>
      </c>
      <c r="E80" s="332">
        <f t="shared" si="2"/>
        <v>0</v>
      </c>
      <c r="F80" s="331"/>
      <c r="G80" s="331"/>
    </row>
    <row r="81" spans="1:7" s="575" customFormat="1" ht="12.75">
      <c r="A81" s="894" t="s">
        <v>1813</v>
      </c>
      <c r="B81" s="901">
        <f>'Sources and Uses Budget'!C80</f>
        <v>2719281.8000000003</v>
      </c>
      <c r="C81" s="901">
        <f>'Sources and Uses Budget'!C80</f>
        <v>2719281.8000000003</v>
      </c>
      <c r="D81" s="901">
        <f>'Sources and Uses Budget'!C80</f>
        <v>2719281.8000000003</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125780</v>
      </c>
      <c r="C83" s="330">
        <f>'Sources and Uses Budget'!C82</f>
        <v>125780</v>
      </c>
      <c r="D83" s="330">
        <f>'Sources and Uses Budget'!C82</f>
        <v>125780</v>
      </c>
      <c r="E83" s="332">
        <f t="shared" si="2"/>
        <v>0</v>
      </c>
      <c r="F83" s="331"/>
      <c r="G83" s="331"/>
    </row>
    <row r="84" spans="1:7" s="575" customFormat="1" ht="12.75">
      <c r="A84" s="239" t="s">
        <v>546</v>
      </c>
      <c r="B84" s="330">
        <f>'Sources and Uses Budget'!C83</f>
        <v>0</v>
      </c>
      <c r="C84" s="330">
        <f>'Sources and Uses Budget'!C83</f>
        <v>0</v>
      </c>
      <c r="D84" s="330">
        <f>'Sources and Uses Budget'!C83</f>
        <v>0</v>
      </c>
      <c r="E84" s="332">
        <f t="shared" si="2"/>
        <v>0</v>
      </c>
      <c r="F84" s="331"/>
      <c r="G84" s="331"/>
    </row>
    <row r="85" spans="1:7" s="575" customFormat="1" ht="12.75">
      <c r="A85" s="239" t="s">
        <v>547</v>
      </c>
      <c r="B85" s="330">
        <f>'Sources and Uses Budget'!C84</f>
        <v>1143995</v>
      </c>
      <c r="C85" s="330">
        <f>'Sources and Uses Budget'!C84</f>
        <v>1143995</v>
      </c>
      <c r="D85" s="330">
        <f>'Sources and Uses Budget'!C84</f>
        <v>1143995</v>
      </c>
      <c r="E85" s="332">
        <f t="shared" si="2"/>
        <v>0</v>
      </c>
      <c r="F85" s="331"/>
      <c r="G85" s="331"/>
    </row>
    <row r="86" spans="1:7" s="575" customFormat="1" ht="12.75">
      <c r="A86" s="239" t="s">
        <v>548</v>
      </c>
      <c r="B86" s="330">
        <f>'Sources and Uses Budget'!C85</f>
        <v>183351</v>
      </c>
      <c r="C86" s="330">
        <f>'Sources and Uses Budget'!C85</f>
        <v>183351</v>
      </c>
      <c r="D86" s="330">
        <f>'Sources and Uses Budget'!C85</f>
        <v>183351</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116000</v>
      </c>
      <c r="C88" s="330">
        <f>'Sources and Uses Budget'!C87</f>
        <v>116000</v>
      </c>
      <c r="D88" s="330">
        <f>'Sources and Uses Budget'!C87</f>
        <v>116000</v>
      </c>
      <c r="E88" s="332">
        <f t="shared" si="2"/>
        <v>0</v>
      </c>
      <c r="F88" s="331"/>
      <c r="G88" s="331"/>
    </row>
    <row r="89" spans="1:7" s="575" customFormat="1" ht="12.75">
      <c r="A89" s="239" t="s">
        <v>551</v>
      </c>
      <c r="B89" s="330">
        <f>'Sources and Uses Budget'!C88</f>
        <v>100000</v>
      </c>
      <c r="C89" s="330">
        <f>'Sources and Uses Budget'!C88</f>
        <v>100000</v>
      </c>
      <c r="D89" s="330">
        <f>'Sources and Uses Budget'!C88</f>
        <v>100000</v>
      </c>
      <c r="E89" s="332">
        <f t="shared" si="2"/>
        <v>0</v>
      </c>
      <c r="F89" s="331"/>
      <c r="G89" s="331"/>
    </row>
    <row r="90" spans="1:7" s="575" customFormat="1" ht="12.75">
      <c r="A90" s="239" t="s">
        <v>552</v>
      </c>
      <c r="B90" s="330">
        <f>'Sources and Uses Budget'!C89</f>
        <v>5500</v>
      </c>
      <c r="C90" s="330">
        <f>'Sources and Uses Budget'!C89</f>
        <v>5500</v>
      </c>
      <c r="D90" s="330">
        <f>'Sources and Uses Budget'!C89</f>
        <v>5500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10000</v>
      </c>
      <c r="C92" s="330">
        <f>'Sources and Uses Budget'!C91</f>
        <v>10000</v>
      </c>
      <c r="D92" s="330">
        <f>'Sources and Uses Budget'!C91</f>
        <v>10000</v>
      </c>
      <c r="E92" s="332">
        <f t="shared" si="2"/>
        <v>0</v>
      </c>
      <c r="F92" s="331"/>
      <c r="G92" s="331"/>
    </row>
    <row r="93" spans="1:7" s="575" customFormat="1" ht="12.75">
      <c r="A93" s="246" t="s">
        <v>563</v>
      </c>
      <c r="B93" s="330">
        <f>'Sources and Uses Budget'!C92</f>
        <v>569860</v>
      </c>
      <c r="C93" s="330">
        <f>'Sources and Uses Budget'!C92</f>
        <v>569860</v>
      </c>
      <c r="D93" s="330">
        <f>'Sources and Uses Budget'!C92</f>
        <v>569860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2254486</v>
      </c>
      <c r="C96" s="901">
        <f>'Sources and Uses Budget'!C95</f>
        <v>2254486</v>
      </c>
      <c r="D96" s="901">
        <f>'Sources and Uses Budget'!C95</f>
        <v>2254486</v>
      </c>
      <c r="E96" s="332">
        <f t="shared" si="2"/>
        <v>0</v>
      </c>
      <c r="F96" s="331"/>
      <c r="G96" s="331"/>
    </row>
    <row r="97" spans="1:7" s="575" customFormat="1" ht="12.75">
      <c r="A97" s="243" t="s">
        <v>554</v>
      </c>
      <c r="B97" s="901">
        <f>'Sources and Uses Budget'!C96</f>
        <v>35667644.370363191</v>
      </c>
      <c r="C97" s="901">
        <f>'Sources and Uses Budget'!C96</f>
        <v>35667644.370363191</v>
      </c>
      <c r="D97" s="901">
        <f>'Sources and Uses Budget'!C96</f>
        <v>35667644.370363191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37867644.370363191</v>
      </c>
      <c r="C105" s="901">
        <f>'Sources and Uses Budget'!C104</f>
        <v>37867644.370363191</v>
      </c>
      <c r="D105" s="901">
        <f>'Sources and Uses Budget'!C104</f>
        <v>37867644.370363191</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2194</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1954</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1339</v>
      </c>
      <c r="B77" s="980"/>
      <c r="C77" s="980"/>
      <c r="D77" s="980"/>
      <c r="E77" s="980"/>
      <c r="F77" s="675"/>
    </row>
    <row r="78" spans="1:9">
      <c r="A78" s="980" t="s">
        <v>1338</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15" zoomScaleNormal="115" workbookViewId="0">
      <selection activeCell="B12" sqref="B1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2317</v>
      </c>
      <c r="B2" s="1014"/>
      <c r="C2" s="983"/>
      <c r="D2" s="983"/>
      <c r="E2" s="983"/>
      <c r="F2" s="983"/>
      <c r="G2" s="983"/>
      <c r="I2" t="s">
        <v>84</v>
      </c>
    </row>
    <row r="3" spans="1:9" ht="12.75">
      <c r="A3" s="190"/>
      <c r="B3" s="190"/>
      <c r="C3"/>
      <c r="D3"/>
      <c r="E3"/>
      <c r="F3"/>
      <c r="G3"/>
      <c r="I3" s="5" t="s">
        <v>1454</v>
      </c>
    </row>
    <row r="4" spans="1:9" ht="12.75">
      <c r="A4" s="1015" t="s">
        <v>2250</v>
      </c>
      <c r="B4" s="1015"/>
      <c r="C4" s="1016"/>
      <c r="D4" s="1016"/>
      <c r="E4" s="1016"/>
      <c r="F4" s="1016"/>
      <c r="G4" s="1016"/>
      <c r="I4" s="5" t="s">
        <v>1438</v>
      </c>
    </row>
    <row r="5" spans="1:9" ht="12.75">
      <c r="A5" s="1015" t="s">
        <v>1086</v>
      </c>
      <c r="B5" s="1015"/>
      <c r="C5" s="1016"/>
      <c r="D5" s="1016"/>
      <c r="E5" s="1016"/>
      <c r="F5" s="1016"/>
      <c r="G5" s="1016"/>
      <c r="I5" t="s">
        <v>132</v>
      </c>
    </row>
    <row r="6" spans="1:9" ht="13.7" customHeight="1"/>
    <row r="7" spans="1:9" ht="12.75">
      <c r="A7" s="1014" t="s">
        <v>1489</v>
      </c>
      <c r="B7" s="1014"/>
      <c r="C7" s="1017"/>
      <c r="D7" s="1017"/>
      <c r="E7" s="1017"/>
      <c r="F7" s="1017"/>
      <c r="G7" s="1017"/>
    </row>
    <row r="8" spans="1:9" ht="12.75">
      <c r="A8" s="1014" t="s">
        <v>1490</v>
      </c>
      <c r="B8" s="1014"/>
      <c r="C8" s="1017"/>
      <c r="D8" s="1017"/>
      <c r="E8" s="1017"/>
      <c r="F8" s="1017"/>
      <c r="G8" s="1017"/>
    </row>
    <row r="9" spans="1:9" ht="12.75">
      <c r="A9" s="192"/>
      <c r="B9" s="192"/>
      <c r="C9" s="190"/>
      <c r="D9" s="190"/>
      <c r="E9" s="190"/>
      <c r="F9" s="190"/>
      <c r="G9" s="190"/>
    </row>
    <row r="10" spans="1:9" ht="12.75">
      <c r="A10" s="1000" t="s">
        <v>1610</v>
      </c>
      <c r="B10" s="1000"/>
      <c r="C10" s="1000"/>
      <c r="D10" s="1000"/>
      <c r="E10" s="1000"/>
      <c r="F10" s="1000"/>
      <c r="G10" s="1000"/>
    </row>
    <row r="11" spans="1:9" ht="12.75">
      <c r="A11" s="190"/>
      <c r="B11" s="190"/>
    </row>
    <row r="12" spans="1:9" ht="13.7" customHeight="1">
      <c r="C12" s="190"/>
      <c r="D12" s="1018" t="s">
        <v>1609</v>
      </c>
      <c r="E12" s="1018"/>
      <c r="F12" s="1018"/>
      <c r="G12" s="617"/>
    </row>
    <row r="13" spans="1:9" ht="12.75">
      <c r="C13" s="190"/>
      <c r="D13" s="1018"/>
      <c r="E13" s="1018"/>
      <c r="F13" s="1018"/>
      <c r="G13" s="617"/>
    </row>
    <row r="14" spans="1:9" ht="12.75">
      <c r="A14" s="191"/>
      <c r="B14" s="191"/>
      <c r="C14" s="191"/>
      <c r="D14" s="995" t="s">
        <v>1476</v>
      </c>
      <c r="E14" s="995"/>
      <c r="F14" s="995"/>
    </row>
    <row r="15" spans="1:9" ht="12.75">
      <c r="A15" s="191"/>
      <c r="B15" s="191"/>
      <c r="C15" s="191"/>
    </row>
    <row r="16" spans="1:9" ht="14.45" customHeight="1">
      <c r="A16" s="271"/>
      <c r="B16" s="616" t="s">
        <v>1438</v>
      </c>
      <c r="C16" s="191"/>
      <c r="D16" s="969" t="s">
        <v>2159</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2160</v>
      </c>
      <c r="F19" s="24"/>
      <c r="G19" s="358"/>
    </row>
    <row r="20" spans="1:7" ht="12.75">
      <c r="A20" s="191"/>
      <c r="B20" s="191"/>
      <c r="C20" s="191"/>
    </row>
    <row r="21" spans="1:7" ht="14.25">
      <c r="A21" s="271"/>
      <c r="B21" s="616" t="s">
        <v>1438</v>
      </c>
      <c r="D21" s="969" t="s">
        <v>2161</v>
      </c>
      <c r="E21" s="975"/>
      <c r="F21" s="975"/>
    </row>
    <row r="22" spans="1:7" ht="12.75">
      <c r="D22" s="975"/>
      <c r="E22" s="975"/>
      <c r="F22" s="975"/>
    </row>
    <row r="23" spans="1:7" ht="12.75">
      <c r="D23" s="102"/>
      <c r="E23" s="104" t="s">
        <v>2162</v>
      </c>
      <c r="F23" s="102"/>
    </row>
    <row r="24" spans="1:7" ht="14.25">
      <c r="A24" s="271"/>
      <c r="B24" s="271"/>
      <c r="D24" s="44"/>
    </row>
    <row r="25" spans="1:7" ht="14.25">
      <c r="A25" s="271"/>
      <c r="B25" s="616" t="s">
        <v>132</v>
      </c>
      <c r="D25" s="975" t="s">
        <v>1470</v>
      </c>
      <c r="E25" s="975"/>
      <c r="F25" s="975"/>
    </row>
    <row r="26" spans="1:7" ht="14.25">
      <c r="A26" s="271"/>
      <c r="B26" s="271"/>
      <c r="D26" s="975"/>
      <c r="E26" s="975"/>
      <c r="F26" s="975"/>
    </row>
    <row r="27" spans="1:7" ht="14.25">
      <c r="A27" s="271"/>
      <c r="B27" s="271"/>
      <c r="D27" s="44"/>
    </row>
    <row r="28" spans="1:7" ht="14.25" customHeight="1">
      <c r="A28" s="271"/>
      <c r="B28" s="616" t="s">
        <v>1438</v>
      </c>
      <c r="D28" s="969" t="s">
        <v>2251</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132</v>
      </c>
      <c r="D34" s="975" t="s">
        <v>2252</v>
      </c>
      <c r="E34" s="975"/>
      <c r="F34" s="975"/>
    </row>
    <row r="35" spans="1:6" ht="14.25">
      <c r="A35" s="271"/>
      <c r="B35" s="271"/>
      <c r="D35" s="975"/>
      <c r="E35" s="975"/>
      <c r="F35" s="975"/>
    </row>
    <row r="36" spans="1:6" ht="14.25">
      <c r="A36" s="271"/>
      <c r="B36" s="271"/>
      <c r="D36" s="209"/>
      <c r="E36" s="209"/>
      <c r="F36" s="209"/>
    </row>
    <row r="37" spans="1:6" ht="14.25">
      <c r="A37" s="271"/>
      <c r="B37" s="616" t="s">
        <v>1438</v>
      </c>
      <c r="D37" s="969" t="s">
        <v>1824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132</v>
      </c>
      <c r="D46" s="975" t="s">
        <v>1506</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1438</v>
      </c>
      <c r="D52" s="969" t="s">
        <v>1970</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132</v>
      </c>
      <c r="D59" s="969" t="s">
        <v>2017</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132</v>
      </c>
      <c r="D64" s="975" t="s">
        <v>2253</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1438</v>
      </c>
      <c r="D68" s="969" t="s">
        <v>2163</v>
      </c>
      <c r="E68" s="975"/>
      <c r="F68" s="975"/>
    </row>
    <row r="69" spans="1:6" ht="12.75">
      <c r="D69" s="975"/>
      <c r="E69" s="975"/>
      <c r="F69" s="975"/>
    </row>
    <row r="70" spans="1:6" ht="12.75">
      <c r="D70" s="975"/>
      <c r="E70" s="975"/>
      <c r="F70" s="975"/>
    </row>
    <row r="71" spans="1:6" ht="14.25">
      <c r="A71" s="271"/>
      <c r="B71" s="271"/>
      <c r="D71" s="209"/>
      <c r="E71" s="128" t="s">
        <v>2160</v>
      </c>
      <c r="F71" s="209"/>
    </row>
    <row r="72" spans="1:6" ht="14.25">
      <c r="A72" s="271"/>
      <c r="B72" s="271"/>
    </row>
    <row r="73" spans="1:6" ht="14.25">
      <c r="A73" s="271"/>
      <c r="B73" s="616" t="s">
        <v>132</v>
      </c>
      <c r="D73" s="975" t="s">
        <v>1608</v>
      </c>
      <c r="E73" s="975"/>
      <c r="F73" s="975"/>
    </row>
    <row r="74" spans="1:6" ht="12.75">
      <c r="D74" s="975"/>
      <c r="E74" s="975"/>
      <c r="F74" s="975"/>
    </row>
    <row r="75" spans="1:6" ht="12.75">
      <c r="D75" s="975"/>
      <c r="E75" s="975"/>
      <c r="F75" s="975"/>
    </row>
    <row r="76" spans="1:6" ht="12.75"/>
    <row r="77" spans="1:6" ht="14.25">
      <c r="A77" s="271" t="s">
        <v>243</v>
      </c>
      <c r="B77" s="616" t="s">
        <v>132</v>
      </c>
      <c r="D77" s="975" t="s">
        <v>1509</v>
      </c>
      <c r="E77" s="975"/>
      <c r="F77" s="975"/>
    </row>
    <row r="78" spans="1:6" ht="12.75">
      <c r="D78" s="975"/>
      <c r="E78" s="975"/>
      <c r="F78" s="975"/>
    </row>
    <row r="79" spans="1:6" ht="12.75"/>
    <row r="80" spans="1:6" ht="14.25">
      <c r="A80" s="271" t="s">
        <v>243</v>
      </c>
      <c r="B80" s="616" t="s">
        <v>1438</v>
      </c>
      <c r="D80" s="975" t="s">
        <v>1510</v>
      </c>
      <c r="E80" s="975"/>
      <c r="F80" s="975"/>
    </row>
    <row r="81" spans="1:7" ht="12.75">
      <c r="D81" s="975"/>
      <c r="E81" s="975"/>
      <c r="F81" s="975"/>
    </row>
    <row r="82" spans="1:7" ht="12.75">
      <c r="D82" s="975"/>
      <c r="E82" s="975"/>
      <c r="F82" s="975"/>
    </row>
    <row r="83" spans="1:7" ht="12.75">
      <c r="D83" s="44"/>
    </row>
    <row r="84" spans="1:7" ht="14.25">
      <c r="A84" s="271" t="s">
        <v>243</v>
      </c>
      <c r="B84" s="616" t="s">
        <v>1438</v>
      </c>
      <c r="D84" s="975" t="s">
        <v>1511</v>
      </c>
      <c r="E84" s="975"/>
      <c r="F84" s="975"/>
    </row>
    <row r="85" spans="1:7" ht="12.75">
      <c r="D85" s="975"/>
      <c r="E85" s="975"/>
      <c r="F85" s="975"/>
    </row>
    <row r="86" spans="1:7" ht="12.75"/>
    <row r="87" spans="1:7" ht="12.75">
      <c r="A87" s="1000" t="s">
        <v>1442</v>
      </c>
      <c r="B87" s="1000"/>
      <c r="C87" s="1000"/>
      <c r="D87" s="1000"/>
      <c r="E87" s="1000"/>
      <c r="F87" s="1000"/>
      <c r="G87" s="1000"/>
    </row>
    <row r="88" spans="1:7" ht="12.75">
      <c r="E88"/>
      <c r="F88"/>
      <c r="G88"/>
    </row>
    <row r="89" spans="1:7" ht="13.7" customHeight="1">
      <c r="C89" s="597"/>
      <c r="D89" s="1002" t="s">
        <v>1443</v>
      </c>
      <c r="E89" s="1002"/>
      <c r="F89" s="1002"/>
      <c r="G89"/>
    </row>
    <row r="90" spans="1:7" ht="13.7" customHeight="1">
      <c r="A90" s="44"/>
      <c r="B90" s="44"/>
      <c r="D90" s="975" t="s">
        <v>1611</v>
      </c>
      <c r="E90" s="975"/>
      <c r="F90" s="975"/>
      <c r="G90"/>
    </row>
    <row r="91" spans="1:7" ht="12.75">
      <c r="A91" s="44"/>
      <c r="B91" s="44"/>
      <c r="E91"/>
      <c r="F91"/>
      <c r="G91"/>
    </row>
    <row r="92" spans="1:7" ht="14.25" customHeight="1">
      <c r="A92" s="271"/>
      <c r="B92" s="616" t="s">
        <v>1438</v>
      </c>
      <c r="D92" s="969" t="s">
        <v>1943</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132</v>
      </c>
      <c r="D101" s="996" t="s">
        <v>1944</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132</v>
      </c>
      <c r="D114" s="975" t="s">
        <v>1612</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1438</v>
      </c>
      <c r="D122" s="975" t="s">
        <v>1613</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1438</v>
      </c>
      <c r="D128" s="975" t="s">
        <v>1614</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132</v>
      </c>
      <c r="D141" s="969" t="s">
        <v>1801</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34" t="s">
        <v>1802</v>
      </c>
      <c r="E159" s="1034"/>
      <c r="F159" s="1034"/>
      <c r="G159"/>
    </row>
    <row r="160" spans="1:7" ht="13.9" customHeight="1">
      <c r="A160" s="18"/>
      <c r="B160" s="18"/>
      <c r="D160" s="44"/>
      <c r="G160"/>
    </row>
    <row r="161" spans="1:7" ht="13.9" customHeight="1">
      <c r="A161" s="271"/>
      <c r="B161" s="616" t="s">
        <v>132</v>
      </c>
      <c r="D161" s="996" t="s">
        <v>1830</v>
      </c>
      <c r="E161" s="1036"/>
      <c r="F161" s="1036"/>
      <c r="G161"/>
    </row>
    <row r="162" spans="1:7" ht="13.9" customHeight="1">
      <c r="A162" s="271"/>
      <c r="B162" s="18"/>
      <c r="D162" s="1036"/>
      <c r="E162" s="1036"/>
      <c r="F162" s="1036"/>
      <c r="G162"/>
    </row>
    <row r="163" spans="1:7" ht="13.9" customHeight="1">
      <c r="A163" s="18"/>
      <c r="B163" s="18"/>
      <c r="D163" s="1036"/>
      <c r="E163" s="1036"/>
      <c r="F163" s="1036"/>
      <c r="G163"/>
    </row>
    <row r="164" spans="1:7" ht="13.9" customHeight="1">
      <c r="A164" s="18"/>
      <c r="B164" s="18"/>
      <c r="D164" s="44"/>
      <c r="G164"/>
    </row>
    <row r="165" spans="1:7" ht="13.9" customHeight="1">
      <c r="A165" s="271"/>
      <c r="B165" s="616" t="s">
        <v>132</v>
      </c>
      <c r="D165" s="1036" t="s">
        <v>1615</v>
      </c>
      <c r="E165" s="1036"/>
      <c r="F165" s="1036"/>
      <c r="G165"/>
    </row>
    <row r="166" spans="1:7" ht="13.9" customHeight="1">
      <c r="A166" s="18"/>
      <c r="B166" s="18"/>
      <c r="D166" s="1036"/>
      <c r="E166" s="1036"/>
      <c r="F166" s="1036"/>
    </row>
    <row r="167" spans="1:7" ht="13.9" customHeight="1">
      <c r="A167" s="18"/>
      <c r="B167" s="18"/>
      <c r="D167" s="1036"/>
      <c r="E167" s="1036"/>
      <c r="F167" s="1036"/>
    </row>
    <row r="168" spans="1:7" ht="13.9" customHeight="1">
      <c r="A168" s="18"/>
      <c r="B168" s="18"/>
      <c r="D168" s="1036"/>
      <c r="E168" s="1036"/>
      <c r="F168" s="1036"/>
    </row>
    <row r="169" spans="1:7" ht="13.9" customHeight="1">
      <c r="A169" s="18"/>
      <c r="B169" s="18"/>
      <c r="D169" s="44"/>
    </row>
    <row r="170" spans="1:7" ht="13.9" customHeight="1">
      <c r="A170" s="374"/>
      <c r="B170" s="616" t="s">
        <v>132</v>
      </c>
      <c r="C170" s="374"/>
      <c r="D170" s="1032" t="s">
        <v>2254</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00" t="s">
        <v>1445</v>
      </c>
      <c r="B174" s="1000"/>
      <c r="C174" s="1000"/>
      <c r="D174" s="1000"/>
      <c r="E174" s="1000"/>
      <c r="F174" s="1000"/>
      <c r="G174" s="1000"/>
    </row>
    <row r="175" spans="1:7" ht="12.75">
      <c r="D175" s="44"/>
    </row>
    <row r="176" spans="1:7" ht="12.75">
      <c r="C176" s="597"/>
      <c r="D176" s="1009" t="s">
        <v>1444</v>
      </c>
      <c r="E176" s="1009"/>
      <c r="F176" s="1009"/>
    </row>
    <row r="177" spans="1:6" ht="12.75">
      <c r="A177" s="190"/>
      <c r="B177" s="190"/>
      <c r="C177" s="190"/>
      <c r="D177" s="1033" t="s">
        <v>1477</v>
      </c>
      <c r="E177" s="1033"/>
      <c r="F177" s="1033"/>
    </row>
    <row r="178" spans="1:6" ht="12.75">
      <c r="A178" s="191"/>
      <c r="B178" s="191"/>
      <c r="C178" s="191"/>
    </row>
    <row r="179" spans="1:6" ht="14.25">
      <c r="A179" s="271"/>
      <c r="B179" s="616" t="s">
        <v>1438</v>
      </c>
      <c r="D179" s="998" t="s">
        <v>1804</v>
      </c>
      <c r="E179" s="999"/>
      <c r="F179" s="999"/>
    </row>
    <row r="180" spans="1:6" ht="14.25">
      <c r="A180" s="271"/>
      <c r="D180" s="313"/>
      <c r="E180" s="102"/>
      <c r="F180" s="102"/>
    </row>
    <row r="181" spans="1:6" ht="14.25">
      <c r="A181" s="271"/>
      <c r="B181" s="616" t="s">
        <v>132</v>
      </c>
      <c r="D181" s="999" t="s">
        <v>1616</v>
      </c>
      <c r="E181" s="999"/>
      <c r="F181" s="999"/>
    </row>
    <row r="182" spans="1:6" ht="14.25">
      <c r="A182" s="271"/>
      <c r="D182" s="102"/>
      <c r="E182" s="102"/>
      <c r="F182" s="102"/>
    </row>
    <row r="183" spans="1:6" ht="14.25">
      <c r="A183" s="271"/>
      <c r="B183" s="616" t="s">
        <v>132</v>
      </c>
      <c r="D183" s="1035" t="s">
        <v>1884</v>
      </c>
      <c r="E183" s="1035"/>
      <c r="F183" s="1035"/>
    </row>
    <row r="184" spans="1:6" ht="13.7" customHeight="1">
      <c r="A184" s="271"/>
      <c r="D184" s="41" t="s">
        <v>942</v>
      </c>
      <c r="E184" s="969" t="s">
        <v>2249</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943</v>
      </c>
      <c r="E188" s="969" t="s">
        <v>1885</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132</v>
      </c>
      <c r="D196" s="975" t="s">
        <v>1617</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2339</v>
      </c>
      <c r="E200" s="1034"/>
      <c r="F200" s="1034"/>
    </row>
    <row r="201" spans="1:7" ht="12.75">
      <c r="D201" s="632"/>
      <c r="E201" s="632"/>
      <c r="F201" s="632"/>
    </row>
    <row r="202" spans="1:7" ht="14.25">
      <c r="A202" s="271"/>
      <c r="B202" s="616" t="s">
        <v>132</v>
      </c>
      <c r="D202" s="995" t="s">
        <v>1618</v>
      </c>
      <c r="E202" s="995"/>
      <c r="F202" s="995"/>
    </row>
    <row r="203" spans="1:7" ht="12.75"/>
    <row r="204" spans="1:7" ht="12.75">
      <c r="A204" s="1000" t="s">
        <v>1447</v>
      </c>
      <c r="B204" s="1000"/>
      <c r="C204" s="1000"/>
      <c r="D204" s="1000"/>
      <c r="E204" s="1000"/>
      <c r="F204" s="1000"/>
      <c r="G204" s="1000"/>
    </row>
    <row r="205" spans="1:7" ht="12.75"/>
    <row r="206" spans="1:7" ht="12.75">
      <c r="C206" s="598"/>
      <c r="D206" s="1009" t="s">
        <v>1446</v>
      </c>
      <c r="E206" s="1009"/>
      <c r="F206" s="1009"/>
    </row>
    <row r="207" spans="1:7" ht="12.75">
      <c r="A207" s="599"/>
      <c r="B207" s="599"/>
      <c r="C207" s="598"/>
      <c r="D207" s="1009" t="s">
        <v>731</v>
      </c>
      <c r="E207" s="1009"/>
      <c r="F207" s="1009"/>
    </row>
    <row r="208" spans="1:7" ht="12.75">
      <c r="A208" s="190"/>
      <c r="B208" s="190"/>
      <c r="C208" s="190"/>
      <c r="D208" s="999" t="s">
        <v>1478</v>
      </c>
      <c r="E208" s="999"/>
      <c r="F208" s="999"/>
    </row>
    <row r="209" spans="1:6" ht="12.75">
      <c r="A209" s="190"/>
      <c r="B209" s="190"/>
      <c r="C209" s="190"/>
    </row>
    <row r="210" spans="1:6" ht="12.75">
      <c r="A210" s="190"/>
      <c r="B210" s="190"/>
      <c r="C210" s="190"/>
      <c r="D210" s="975" t="s">
        <v>1488</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2255</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132</v>
      </c>
      <c r="C222" s="191"/>
      <c r="D222" s="995" t="s">
        <v>307</v>
      </c>
      <c r="E222" s="995"/>
      <c r="F222" s="995"/>
    </row>
    <row r="223" spans="1:6" ht="14.25">
      <c r="A223" s="271"/>
      <c r="C223" s="191"/>
      <c r="D223" s="999" t="s">
        <v>1156</v>
      </c>
      <c r="E223" s="999"/>
      <c r="F223" s="999"/>
    </row>
    <row r="224" spans="1:6" ht="14.25">
      <c r="A224" s="271"/>
      <c r="B224" s="271"/>
      <c r="C224" s="191"/>
      <c r="D224" s="104" t="s">
        <v>1495</v>
      </c>
      <c r="E224" s="1007" t="s">
        <v>2164</v>
      </c>
      <c r="F224" s="1007"/>
    </row>
    <row r="225" spans="1:6" ht="12.75">
      <c r="D225" s="998" t="s">
        <v>1471</v>
      </c>
      <c r="E225" s="999"/>
      <c r="F225" s="999"/>
    </row>
    <row r="226" spans="1:6" ht="12.75"/>
    <row r="227" spans="1:6" ht="14.25">
      <c r="A227" s="271"/>
      <c r="B227" s="616" t="s">
        <v>1438</v>
      </c>
      <c r="D227" s="999" t="s">
        <v>308</v>
      </c>
      <c r="E227" s="999"/>
      <c r="F227" s="999"/>
    </row>
    <row r="228" spans="1:6" ht="14.25">
      <c r="A228" s="271"/>
      <c r="D228" s="995" t="s">
        <v>1156</v>
      </c>
      <c r="E228" s="995"/>
      <c r="F228" s="995"/>
    </row>
    <row r="229" spans="1:6" ht="14.25">
      <c r="A229" s="271"/>
      <c r="B229" s="271"/>
      <c r="D229" s="63" t="s">
        <v>1496</v>
      </c>
      <c r="E229" s="1007" t="s">
        <v>2165</v>
      </c>
      <c r="F229" s="1007"/>
    </row>
    <row r="230" spans="1:6" ht="12.75">
      <c r="D230" s="999" t="s">
        <v>1472</v>
      </c>
      <c r="E230" s="999"/>
      <c r="F230" s="999"/>
    </row>
    <row r="231" spans="1:6" ht="12.75"/>
    <row r="232" spans="1:6" ht="14.25">
      <c r="A232" s="271"/>
      <c r="B232" s="616" t="s">
        <v>132</v>
      </c>
      <c r="D232" s="999" t="s">
        <v>675</v>
      </c>
      <c r="E232" s="999"/>
      <c r="F232" s="999"/>
    </row>
    <row r="233" spans="1:6" ht="14.25">
      <c r="A233" s="271"/>
      <c r="D233" s="44" t="s">
        <v>1156</v>
      </c>
    </row>
    <row r="234" spans="1:6" ht="14.25">
      <c r="A234" s="271"/>
      <c r="B234" s="271"/>
      <c r="D234" s="63" t="s">
        <v>1495</v>
      </c>
      <c r="E234" s="1007" t="s">
        <v>2166</v>
      </c>
      <c r="F234" s="1007"/>
    </row>
    <row r="235" spans="1:6" ht="14.25">
      <c r="A235" s="271"/>
      <c r="B235" s="271"/>
      <c r="D235" s="975" t="s">
        <v>1498</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1473</v>
      </c>
      <c r="E240" s="975"/>
      <c r="F240" s="975"/>
    </row>
    <row r="241" spans="1:6" ht="12.75">
      <c r="D241" s="44"/>
    </row>
    <row r="242" spans="1:6" ht="14.25">
      <c r="A242" s="271"/>
      <c r="B242" s="616" t="s">
        <v>132</v>
      </c>
      <c r="D242" s="999" t="s">
        <v>676</v>
      </c>
      <c r="E242" s="999"/>
      <c r="F242" s="999"/>
    </row>
    <row r="243" spans="1:6" ht="14.25">
      <c r="A243" s="271"/>
      <c r="D243" s="999" t="s">
        <v>1156</v>
      </c>
      <c r="E243" s="999"/>
      <c r="F243" s="999"/>
    </row>
    <row r="244" spans="1:6" ht="14.25">
      <c r="A244" s="271"/>
      <c r="B244" s="271"/>
      <c r="D244" s="63" t="s">
        <v>1495</v>
      </c>
      <c r="E244" s="1007" t="s">
        <v>2167</v>
      </c>
      <c r="F244" s="1007"/>
    </row>
    <row r="245" spans="1:6" ht="12.75">
      <c r="D245" s="998" t="s">
        <v>2021</v>
      </c>
      <c r="E245" s="999"/>
      <c r="F245" s="999"/>
    </row>
    <row r="246" spans="1:6" ht="12.75">
      <c r="D246" s="102"/>
      <c r="E246" s="102"/>
      <c r="F246" s="102"/>
    </row>
    <row r="247" spans="1:6" ht="14.25">
      <c r="A247" s="271"/>
      <c r="B247" s="616" t="s">
        <v>132</v>
      </c>
      <c r="D247" s="998" t="s">
        <v>2020</v>
      </c>
      <c r="E247" s="999"/>
      <c r="F247" s="999"/>
    </row>
    <row r="248" spans="1:6" ht="14.25">
      <c r="A248" s="271"/>
      <c r="D248" s="999" t="s">
        <v>1156</v>
      </c>
      <c r="E248" s="999"/>
      <c r="F248" s="999"/>
    </row>
    <row r="249" spans="1:6" ht="14.25">
      <c r="A249" s="271"/>
      <c r="B249" s="271"/>
      <c r="D249" s="63" t="s">
        <v>1495</v>
      </c>
      <c r="E249" s="1007" t="s">
        <v>2168</v>
      </c>
      <c r="F249" s="1007"/>
    </row>
    <row r="250" spans="1:6" ht="12.75">
      <c r="D250" s="998" t="s">
        <v>2022</v>
      </c>
      <c r="E250" s="999"/>
      <c r="F250" s="999"/>
    </row>
    <row r="251" spans="1:6" ht="12.75">
      <c r="D251" s="44"/>
    </row>
    <row r="252" spans="1:6" ht="14.25">
      <c r="A252" s="271"/>
      <c r="B252" s="616" t="s">
        <v>132</v>
      </c>
      <c r="D252" s="102" t="s">
        <v>1518</v>
      </c>
      <c r="E252" s="102"/>
      <c r="F252" s="102"/>
    </row>
    <row r="253" spans="1:6" ht="14.25">
      <c r="A253" s="271"/>
      <c r="B253"/>
      <c r="D253" s="969" t="s">
        <v>1825</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132</v>
      </c>
      <c r="D257" s="999" t="s">
        <v>1065</v>
      </c>
      <c r="E257" s="999"/>
      <c r="F257" s="999"/>
    </row>
    <row r="258" spans="1:7" ht="14.25">
      <c r="A258" s="271"/>
      <c r="D258" s="102"/>
      <c r="E258" s="102"/>
      <c r="F258" s="102"/>
    </row>
    <row r="259" spans="1:7" ht="12.75">
      <c r="A259" s="1000" t="s">
        <v>1449</v>
      </c>
      <c r="B259" s="1000"/>
      <c r="C259" s="1000"/>
      <c r="D259" s="1000"/>
      <c r="E259" s="1000"/>
      <c r="F259" s="1000"/>
      <c r="G259" s="1000"/>
    </row>
    <row r="260" spans="1:7" ht="12.75">
      <c r="D260" s="44"/>
    </row>
    <row r="261" spans="1:7" ht="12.75">
      <c r="C261" s="597"/>
      <c r="D261" s="1001" t="s">
        <v>1448</v>
      </c>
      <c r="E261" s="1001"/>
      <c r="F261" s="1001"/>
    </row>
    <row r="262" spans="1:7" ht="12.75">
      <c r="A262" s="190"/>
      <c r="B262" s="190"/>
      <c r="C262" s="190"/>
      <c r="D262" s="995" t="s">
        <v>1479</v>
      </c>
      <c r="E262" s="995"/>
      <c r="F262" s="995"/>
    </row>
    <row r="263" spans="1:7" ht="12.75">
      <c r="A263" s="18"/>
      <c r="B263" s="18"/>
      <c r="C263" s="18"/>
      <c r="D263" s="3"/>
    </row>
    <row r="264" spans="1:7" ht="12.75">
      <c r="A264" s="18"/>
      <c r="C264" s="18"/>
      <c r="D264" s="1001" t="s">
        <v>223</v>
      </c>
      <c r="E264" s="1001"/>
      <c r="F264" s="1001"/>
      <c r="G264"/>
    </row>
    <row r="265" spans="1:7" ht="14.45" customHeight="1">
      <c r="A265" s="271"/>
      <c r="B265" s="616" t="s">
        <v>1438</v>
      </c>
      <c r="C265" s="887"/>
      <c r="D265" s="1010" t="s">
        <v>2102</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1438</v>
      </c>
      <c r="C270" s="887"/>
      <c r="D270" s="1010" t="s">
        <v>2103</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1627</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1438</v>
      </c>
      <c r="C282" s="805"/>
      <c r="D282" s="1008" t="s">
        <v>2015</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5" t="s">
        <v>1157</v>
      </c>
      <c r="E287" s="995"/>
      <c r="F287" s="995"/>
      <c r="G287"/>
    </row>
    <row r="288" spans="1:7" ht="14.25">
      <c r="A288" s="271"/>
      <c r="B288" s="271"/>
      <c r="D288" s="995" t="s">
        <v>1628</v>
      </c>
      <c r="E288" s="995"/>
      <c r="F288" s="995"/>
      <c r="G288"/>
    </row>
    <row r="289" spans="1:7" ht="14.25">
      <c r="A289" s="271"/>
      <c r="B289" s="271"/>
      <c r="D289" s="3" t="s">
        <v>1087</v>
      </c>
      <c r="E289" s="934" t="s">
        <v>2170</v>
      </c>
      <c r="F289" s="3"/>
    </row>
    <row r="290" spans="1:7" ht="12.75">
      <c r="D290" s="28"/>
    </row>
    <row r="291" spans="1:7" ht="14.25">
      <c r="A291" s="271"/>
      <c r="B291" s="616" t="s">
        <v>1438</v>
      </c>
      <c r="D291" s="975" t="s">
        <v>1629</v>
      </c>
      <c r="E291" s="975"/>
      <c r="F291" s="975"/>
    </row>
    <row r="292" spans="1:7" ht="14.25">
      <c r="A292" s="271"/>
      <c r="B292" s="271"/>
      <c r="D292" s="975"/>
      <c r="E292" s="975"/>
      <c r="F292" s="975"/>
    </row>
    <row r="293" spans="1:7" ht="12.75">
      <c r="D293" s="28"/>
    </row>
    <row r="294" spans="1:7" ht="12.75">
      <c r="A294" s="1000" t="s">
        <v>1451</v>
      </c>
      <c r="B294" s="1000"/>
      <c r="C294" s="1000"/>
      <c r="D294" s="1000"/>
      <c r="E294" s="1000"/>
      <c r="F294" s="1000"/>
      <c r="G294" s="1000"/>
    </row>
    <row r="295" spans="1:7" ht="12.75">
      <c r="D295" s="28"/>
    </row>
    <row r="296" spans="1:7" ht="12.75">
      <c r="C296" s="597"/>
      <c r="D296" s="1001" t="s">
        <v>1450</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16" t="s">
        <v>132</v>
      </c>
      <c r="D299" s="969" t="s">
        <v>1967</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132</v>
      </c>
      <c r="C303" s="805"/>
      <c r="D303" s="1008" t="s">
        <v>2016</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2171</v>
      </c>
      <c r="F306" s="377"/>
      <c r="G306" s="806"/>
    </row>
    <row r="307" spans="1:7" ht="12.75">
      <c r="D307" s="212"/>
    </row>
    <row r="308" spans="1:7" ht="12.75">
      <c r="A308" s="1000" t="s">
        <v>1452</v>
      </c>
      <c r="B308" s="1000"/>
      <c r="C308" s="1000"/>
      <c r="D308" s="1000"/>
      <c r="E308" s="1000"/>
      <c r="F308" s="1000"/>
      <c r="G308" s="1000"/>
    </row>
    <row r="309" spans="1:7" ht="12.75">
      <c r="D309" s="212"/>
    </row>
    <row r="310" spans="1:7" ht="12.75">
      <c r="C310" s="190"/>
      <c r="D310" s="1002" t="s">
        <v>1630</v>
      </c>
      <c r="E310" s="1002"/>
      <c r="F310" s="1002"/>
    </row>
    <row r="311" spans="1:7" ht="12.75">
      <c r="C311" s="190"/>
      <c r="D311" s="1002"/>
      <c r="E311" s="1002"/>
      <c r="F311" s="1002"/>
    </row>
    <row r="312" spans="1:7" ht="12.75">
      <c r="A312" s="191"/>
      <c r="B312" s="191"/>
      <c r="C312" s="191"/>
      <c r="D312" s="3"/>
    </row>
    <row r="313" spans="1:7" ht="12.75">
      <c r="C313" s="191"/>
      <c r="D313" s="1001" t="s">
        <v>173</v>
      </c>
      <c r="E313" s="1001"/>
      <c r="F313" s="1001"/>
    </row>
    <row r="314" spans="1:7" ht="14.25">
      <c r="A314" s="271"/>
      <c r="B314" s="271"/>
      <c r="D314" s="1012" t="s">
        <v>1631</v>
      </c>
      <c r="E314" s="1012"/>
      <c r="F314" s="1012"/>
    </row>
    <row r="315" spans="1:7" ht="12" customHeight="1"/>
    <row r="316" spans="1:7" ht="14.45" customHeight="1">
      <c r="A316" s="271"/>
      <c r="B316" s="616" t="s">
        <v>132</v>
      </c>
      <c r="D316" s="975" t="s">
        <v>1632</v>
      </c>
      <c r="E316" s="975"/>
      <c r="F316" s="975"/>
    </row>
    <row r="317" spans="1:7" ht="14.25">
      <c r="A317" s="271"/>
      <c r="B317" s="271"/>
      <c r="D317" s="975"/>
      <c r="E317" s="975"/>
      <c r="F317" s="975"/>
    </row>
    <row r="318" spans="1:7" ht="12.75"/>
    <row r="319" spans="1:7" ht="14.45" customHeight="1">
      <c r="A319" s="271"/>
      <c r="B319" s="616" t="s">
        <v>132</v>
      </c>
      <c r="D319" s="975" t="s">
        <v>1633</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132</v>
      </c>
      <c r="D323" s="975" t="s">
        <v>1634</v>
      </c>
      <c r="E323" s="975"/>
      <c r="F323" s="975"/>
    </row>
    <row r="324" spans="1:7" ht="14.25">
      <c r="A324" s="271"/>
      <c r="B324" s="271"/>
      <c r="D324" s="975"/>
      <c r="E324" s="975"/>
      <c r="F324" s="975"/>
    </row>
    <row r="325" spans="1:7" ht="12.75">
      <c r="A325" s="18"/>
      <c r="B325" s="18"/>
      <c r="D325" s="44"/>
    </row>
    <row r="326" spans="1:7" ht="12.75">
      <c r="A326" s="1000" t="s">
        <v>1439</v>
      </c>
      <c r="B326" s="1000"/>
      <c r="C326" s="1000"/>
      <c r="D326" s="1000"/>
      <c r="E326" s="1000"/>
      <c r="F326" s="1000"/>
      <c r="G326" s="1000"/>
    </row>
    <row r="327" spans="1:7" ht="12.75">
      <c r="A327" s="18"/>
      <c r="B327" s="18"/>
      <c r="D327" s="44"/>
      <c r="G327"/>
    </row>
    <row r="328" spans="1:7" ht="12.75">
      <c r="C328" s="18"/>
      <c r="D328" s="1001" t="s">
        <v>174</v>
      </c>
      <c r="E328" s="1001"/>
      <c r="F328" s="1001"/>
      <c r="G328"/>
    </row>
    <row r="329" spans="1:7" ht="12.75">
      <c r="C329" s="18"/>
      <c r="D329" s="995" t="s">
        <v>1480</v>
      </c>
      <c r="E329" s="995"/>
      <c r="F329" s="995"/>
      <c r="G329"/>
    </row>
    <row r="330" spans="1:7" ht="12.75">
      <c r="C330" s="18"/>
      <c r="D330" s="182"/>
      <c r="G330"/>
    </row>
    <row r="331" spans="1:7" ht="12.75">
      <c r="B331" s="616" t="s">
        <v>132</v>
      </c>
      <c r="D331" s="995" t="s">
        <v>1635</v>
      </c>
      <c r="E331" s="995"/>
      <c r="F331" s="995"/>
      <c r="G331"/>
    </row>
    <row r="332" spans="1:7" ht="14.25">
      <c r="A332" s="271"/>
      <c r="B332" s="271"/>
      <c r="D332" s="424"/>
      <c r="G332"/>
    </row>
    <row r="333" spans="1:7" ht="14.25">
      <c r="A333" s="271"/>
      <c r="B333" s="616" t="s">
        <v>132</v>
      </c>
      <c r="D333" s="995" t="s">
        <v>1636</v>
      </c>
      <c r="E333" s="995"/>
      <c r="F333" s="995"/>
      <c r="G333"/>
    </row>
    <row r="334" spans="1:7" ht="12.75">
      <c r="G334"/>
    </row>
    <row r="335" spans="1:7" ht="14.45" customHeight="1">
      <c r="A335" s="271"/>
      <c r="B335" s="616" t="s">
        <v>132</v>
      </c>
      <c r="D335" s="975" t="s">
        <v>1642</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132</v>
      </c>
      <c r="D351" s="975" t="s">
        <v>1637</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132</v>
      </c>
      <c r="D361" s="989" t="s">
        <v>2172</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2173</v>
      </c>
      <c r="F366" s="209"/>
    </row>
    <row r="367" spans="1:6" ht="13.5" thickBot="1">
      <c r="D367" s="784"/>
      <c r="E367" s="98"/>
      <c r="F367" s="98"/>
    </row>
    <row r="368" spans="1:6" ht="14.25" thickTop="1" thickBot="1">
      <c r="D368" s="1011" t="s">
        <v>1317</v>
      </c>
      <c r="E368" s="1011"/>
      <c r="F368" s="1011"/>
    </row>
    <row r="369" spans="1:6" ht="13.5" thickTop="1">
      <c r="D369" s="1013" t="s">
        <v>1638</v>
      </c>
      <c r="E369" s="1013"/>
      <c r="F369" s="1013"/>
    </row>
    <row r="370" spans="1:6" ht="12.75">
      <c r="D370" s="44"/>
    </row>
    <row r="371" spans="1:6" ht="14.25">
      <c r="A371" s="271"/>
      <c r="B371" s="616" t="s">
        <v>132</v>
      </c>
      <c r="C371" s="365"/>
      <c r="D371" s="1005" t="s">
        <v>2256</v>
      </c>
      <c r="E371" s="1005"/>
      <c r="F371" s="1005"/>
    </row>
    <row r="372" spans="1:6" ht="14.25">
      <c r="A372" s="271"/>
      <c r="B372" s="271"/>
      <c r="C372" s="365"/>
      <c r="D372" s="424"/>
    </row>
    <row r="373" spans="1:6" ht="14.25">
      <c r="A373" s="271"/>
      <c r="B373" s="616" t="s">
        <v>132</v>
      </c>
      <c r="C373" s="365"/>
      <c r="D373" s="970" t="s">
        <v>2257</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132</v>
      </c>
      <c r="C384" s="365"/>
      <c r="D384" s="993" t="s">
        <v>1639</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1640</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1643</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132</v>
      </c>
      <c r="C417" s="365"/>
      <c r="D417" s="993" t="s">
        <v>1641</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132</v>
      </c>
      <c r="C420" s="365"/>
      <c r="D420" s="996" t="s">
        <v>1964</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132</v>
      </c>
      <c r="C426" s="365"/>
      <c r="D426" s="996" t="s">
        <v>1945</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1960</v>
      </c>
      <c r="E430" s="997"/>
      <c r="F430" s="997"/>
    </row>
    <row r="431" spans="1:6" ht="12.75">
      <c r="D431" s="44"/>
    </row>
    <row r="432" spans="1:6" ht="14.45" customHeight="1">
      <c r="A432" s="271"/>
      <c r="B432" s="616" t="s">
        <v>132</v>
      </c>
      <c r="C432" s="207"/>
      <c r="D432" s="975" t="s">
        <v>2258</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132</v>
      </c>
      <c r="C464" s="207"/>
      <c r="D464" s="994" t="s">
        <v>2175</v>
      </c>
      <c r="E464" s="995"/>
      <c r="F464" s="995"/>
    </row>
    <row r="465" spans="1:6" ht="12.75">
      <c r="D465"/>
      <c r="E465" s="935" t="s">
        <v>2174</v>
      </c>
      <c r="F465" s="935"/>
    </row>
    <row r="466" spans="1:6" ht="13.7" customHeight="1">
      <c r="D466" s="969" t="s">
        <v>1942</v>
      </c>
      <c r="E466" s="975"/>
      <c r="F466" s="975"/>
    </row>
    <row r="467" spans="1:6" ht="13.7" customHeight="1">
      <c r="D467" s="975"/>
      <c r="E467" s="975"/>
      <c r="F467" s="975"/>
    </row>
    <row r="468" spans="1:6" ht="12.75">
      <c r="D468" s="44"/>
    </row>
    <row r="469" spans="1:6" ht="14.45" customHeight="1">
      <c r="A469" s="271"/>
      <c r="B469" s="616" t="s">
        <v>132</v>
      </c>
      <c r="C469" s="207"/>
      <c r="D469" s="975" t="s">
        <v>1644</v>
      </c>
      <c r="E469" s="975"/>
      <c r="F469" s="975"/>
    </row>
    <row r="470" spans="1:6" ht="12.75">
      <c r="D470" s="975"/>
      <c r="E470" s="975"/>
      <c r="F470" s="975"/>
    </row>
    <row r="471" spans="1:6" ht="12.75">
      <c r="D471" s="975"/>
      <c r="E471" s="975"/>
      <c r="F471" s="975"/>
    </row>
    <row r="472" spans="1:6" ht="12.75">
      <c r="D472" s="24"/>
      <c r="E472" s="24"/>
      <c r="F472" s="24"/>
    </row>
    <row r="473" spans="1:6" ht="14.25">
      <c r="B473" s="616" t="s">
        <v>132</v>
      </c>
      <c r="C473" s="271"/>
      <c r="D473" s="969" t="s">
        <v>1789</v>
      </c>
      <c r="E473" s="975"/>
      <c r="F473" s="975"/>
    </row>
    <row r="474" spans="1:6" ht="12.75">
      <c r="D474" s="975"/>
      <c r="E474" s="975"/>
      <c r="F474" s="975"/>
    </row>
    <row r="475" spans="1:6" ht="12.75">
      <c r="D475" s="44"/>
      <c r="E475" s="44"/>
    </row>
    <row r="476" spans="1:6" ht="14.25">
      <c r="B476" s="616" t="s">
        <v>132</v>
      </c>
      <c r="C476" s="271"/>
      <c r="D476" s="975" t="s">
        <v>1645</v>
      </c>
      <c r="E476" s="975"/>
      <c r="F476" s="975"/>
    </row>
    <row r="477" spans="1:6" ht="12.75">
      <c r="D477" s="975"/>
      <c r="E477" s="975"/>
      <c r="F477" s="975"/>
    </row>
    <row r="478" spans="1:6" ht="12.75">
      <c r="D478" s="975"/>
      <c r="E478" s="975"/>
      <c r="F478" s="975"/>
    </row>
    <row r="479" spans="1:6" ht="12.75">
      <c r="D479" s="975"/>
      <c r="E479" s="975"/>
      <c r="F479" s="975"/>
    </row>
    <row r="480" spans="1:6" ht="12.75">
      <c r="B480" s="616" t="s">
        <v>132</v>
      </c>
      <c r="D480" s="975"/>
      <c r="E480" s="975"/>
      <c r="F480" s="975"/>
    </row>
    <row r="481" spans="2:6" ht="12.75">
      <c r="D481" s="975"/>
      <c r="E481" s="975"/>
      <c r="F481" s="975"/>
    </row>
    <row r="482" spans="2:6" ht="12.75">
      <c r="D482" s="975"/>
      <c r="E482" s="975"/>
      <c r="F482" s="975"/>
    </row>
    <row r="483" spans="2:6" ht="12.75">
      <c r="B483" s="616" t="s">
        <v>132</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132</v>
      </c>
      <c r="D487" s="975"/>
      <c r="E487" s="975"/>
      <c r="F487" s="975"/>
    </row>
    <row r="488" spans="2:6" ht="12.75">
      <c r="D488" s="975"/>
      <c r="E488" s="975"/>
      <c r="F488" s="975"/>
    </row>
    <row r="489" spans="2:6" ht="12.75">
      <c r="B489" s="616" t="s">
        <v>132</v>
      </c>
      <c r="D489" s="975"/>
      <c r="E489" s="975"/>
      <c r="F489" s="975"/>
    </row>
    <row r="490" spans="2:6" ht="12.75">
      <c r="D490" s="975"/>
      <c r="E490" s="975"/>
      <c r="F490" s="975"/>
    </row>
    <row r="491" spans="2:6" ht="13.7" customHeight="1">
      <c r="B491" s="616" t="s">
        <v>132</v>
      </c>
      <c r="D491" s="975" t="s">
        <v>1646</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132</v>
      </c>
      <c r="D497" s="995" t="s">
        <v>1481</v>
      </c>
      <c r="E497" s="995"/>
      <c r="F497" s="995"/>
    </row>
    <row r="498" spans="1:7" ht="12.75">
      <c r="A498" s="44"/>
      <c r="B498" s="44"/>
    </row>
    <row r="499" spans="1:7" ht="12.75">
      <c r="A499" s="1000" t="s">
        <v>1440</v>
      </c>
      <c r="B499" s="1000"/>
      <c r="C499" s="1000"/>
      <c r="D499" s="1000"/>
      <c r="E499" s="1000"/>
      <c r="F499" s="1000"/>
      <c r="G499" s="1000"/>
    </row>
    <row r="500" spans="1:7" ht="12.75">
      <c r="A500" s="44"/>
      <c r="B500" s="44"/>
    </row>
    <row r="501" spans="1:7" ht="12.75">
      <c r="D501" s="1004" t="s">
        <v>1163</v>
      </c>
      <c r="E501" s="1004"/>
      <c r="F501" s="1004"/>
    </row>
    <row r="502" spans="1:7" ht="12.75">
      <c r="D502" s="1005" t="s">
        <v>1474</v>
      </c>
      <c r="E502" s="1005"/>
      <c r="F502" s="1005"/>
    </row>
    <row r="503" spans="1:7" ht="14.25">
      <c r="A503" s="271"/>
      <c r="B503" s="271"/>
      <c r="D503" s="424"/>
    </row>
    <row r="504" spans="1:7" ht="14.25">
      <c r="A504" s="271"/>
      <c r="B504" s="616" t="s">
        <v>132</v>
      </c>
      <c r="D504" s="993" t="s">
        <v>1647</v>
      </c>
      <c r="E504" s="993"/>
      <c r="F504" s="993"/>
    </row>
    <row r="505" spans="1:7" ht="14.25">
      <c r="A505" s="271"/>
      <c r="B505" s="271"/>
      <c r="D505" s="993"/>
      <c r="E505" s="993"/>
      <c r="F505" s="993"/>
    </row>
    <row r="506" spans="1:7" ht="14.25">
      <c r="A506" s="271"/>
      <c r="B506" s="271"/>
      <c r="D506" s="44"/>
    </row>
    <row r="507" spans="1:7" ht="14.25">
      <c r="A507" s="271"/>
      <c r="B507" s="616" t="s">
        <v>132</v>
      </c>
      <c r="D507" s="1006" t="s">
        <v>1961</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132</v>
      </c>
      <c r="D512" s="995" t="s">
        <v>1649</v>
      </c>
      <c r="E512" s="995"/>
      <c r="F512" s="995"/>
      <c r="G512"/>
    </row>
    <row r="513" spans="1:7" ht="12.75">
      <c r="D513" s="44"/>
      <c r="G513"/>
    </row>
    <row r="514" spans="1:7" ht="14.25">
      <c r="A514" s="271"/>
      <c r="B514" s="616" t="s">
        <v>132</v>
      </c>
      <c r="D514" s="975" t="s">
        <v>1650</v>
      </c>
      <c r="E514" s="975"/>
      <c r="F514" s="975"/>
      <c r="G514"/>
    </row>
    <row r="515" spans="1:7" ht="12.75">
      <c r="D515" s="975"/>
      <c r="E515" s="975"/>
      <c r="F515" s="975"/>
      <c r="G515"/>
    </row>
    <row r="516" spans="1:7" ht="12.75">
      <c r="D516" s="424"/>
      <c r="G516"/>
    </row>
    <row r="517" spans="1:7" ht="14.25">
      <c r="A517" s="271"/>
      <c r="B517" s="616" t="s">
        <v>132</v>
      </c>
      <c r="D517" s="995" t="s">
        <v>1648</v>
      </c>
      <c r="E517" s="995"/>
      <c r="F517" s="995"/>
    </row>
    <row r="518" spans="1:7" ht="14.25">
      <c r="A518" s="271"/>
      <c r="B518" s="271"/>
      <c r="D518" s="44"/>
    </row>
    <row r="519" spans="1:7" ht="12.75">
      <c r="A519" s="1000" t="s">
        <v>1441</v>
      </c>
      <c r="B519" s="1000"/>
      <c r="C519" s="1000"/>
      <c r="D519" s="1000"/>
      <c r="E519" s="1000"/>
      <c r="F519" s="1000"/>
      <c r="G519" s="1000"/>
    </row>
    <row r="520" spans="1:7" ht="12" customHeight="1">
      <c r="A520" s="271"/>
      <c r="B520" s="271"/>
      <c r="D520" s="44"/>
    </row>
    <row r="521" spans="1:7" ht="12.75">
      <c r="B521" s="616" t="s">
        <v>1438</v>
      </c>
      <c r="C521" s="190"/>
      <c r="D521" s="1024" t="s">
        <v>1591</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132</v>
      </c>
      <c r="C526" s="207"/>
      <c r="D526" s="975" t="s">
        <v>2259</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993" t="s">
        <v>2260</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1453</v>
      </c>
      <c r="B535" s="1000"/>
      <c r="C535" s="1000"/>
      <c r="D535" s="1000"/>
      <c r="E535" s="1000"/>
      <c r="F535" s="1000"/>
      <c r="G535" s="1000"/>
    </row>
    <row r="536" spans="1:7" ht="12" customHeight="1">
      <c r="A536" s="44"/>
      <c r="B536" s="44"/>
      <c r="C536" s="207"/>
      <c r="E536" s="44"/>
    </row>
    <row r="537" spans="1:7" ht="12.75">
      <c r="C537" s="207"/>
      <c r="D537" s="1001" t="s">
        <v>1482</v>
      </c>
      <c r="E537" s="1001"/>
      <c r="F537" s="1001"/>
    </row>
    <row r="538" spans="1:7" ht="12.75"/>
    <row r="539" spans="1:7" ht="12.75">
      <c r="B539" s="616" t="s">
        <v>132</v>
      </c>
      <c r="D539" s="975" t="s">
        <v>1619</v>
      </c>
      <c r="E539" s="975"/>
      <c r="F539" s="975"/>
    </row>
    <row r="540" spans="1:7" ht="12.75">
      <c r="D540" s="975"/>
      <c r="E540" s="975"/>
      <c r="F540" s="975"/>
    </row>
    <row r="541" spans="1:7" ht="12" customHeight="1">
      <c r="A541" s="207"/>
      <c r="B541" s="207"/>
      <c r="C541" s="207"/>
      <c r="D541" s="44"/>
    </row>
    <row r="542" spans="1:7" ht="14.25">
      <c r="A542" s="271"/>
      <c r="B542" s="616" t="s">
        <v>132</v>
      </c>
      <c r="C542" s="207"/>
      <c r="D542" s="975" t="s">
        <v>1620</v>
      </c>
      <c r="E542" s="975"/>
      <c r="F542" s="975"/>
    </row>
    <row r="543" spans="1:7" ht="12.75">
      <c r="A543" s="207"/>
      <c r="B543" s="207"/>
      <c r="C543" s="207"/>
      <c r="D543" s="975"/>
      <c r="E543" s="975"/>
      <c r="F543" s="975"/>
    </row>
    <row r="544" spans="1:7" ht="12" customHeight="1">
      <c r="A544" s="207"/>
      <c r="B544" s="207"/>
      <c r="C544" s="207"/>
      <c r="D544" s="44"/>
    </row>
    <row r="545" spans="1:7" ht="12.75">
      <c r="A545" s="1020" t="s">
        <v>1491</v>
      </c>
      <c r="B545" s="1020"/>
      <c r="C545" s="1020"/>
      <c r="D545" s="1020"/>
      <c r="E545" s="1020"/>
      <c r="F545" s="1020"/>
      <c r="G545" s="1020"/>
    </row>
    <row r="546" spans="1:7" ht="12" customHeight="1">
      <c r="A546" s="44"/>
      <c r="B546" s="44"/>
      <c r="C546" s="207"/>
      <c r="D546" s="44"/>
    </row>
    <row r="547" spans="1:7" ht="12.75">
      <c r="C547" s="207"/>
      <c r="D547" s="1001" t="s">
        <v>175</v>
      </c>
      <c r="E547" s="1001"/>
      <c r="F547" s="1001"/>
    </row>
    <row r="548" spans="1:7" ht="12.75">
      <c r="C548" s="207"/>
      <c r="D548" s="995" t="s">
        <v>1600</v>
      </c>
      <c r="E548" s="995"/>
      <c r="F548" s="995"/>
    </row>
    <row r="549" spans="1:7" ht="12.75">
      <c r="C549" s="207"/>
      <c r="D549" s="44"/>
      <c r="E549" s="44"/>
      <c r="F549" s="44"/>
    </row>
    <row r="550" spans="1:7" ht="14.25">
      <c r="A550" s="271"/>
      <c r="B550" s="616" t="s">
        <v>1438</v>
      </c>
      <c r="C550" s="207"/>
      <c r="D550" s="995" t="s">
        <v>1158</v>
      </c>
      <c r="E550" s="995"/>
      <c r="F550" s="995"/>
    </row>
    <row r="551" spans="1:7" ht="12" customHeight="1">
      <c r="A551" s="207"/>
      <c r="B551" s="207"/>
      <c r="C551" s="207"/>
      <c r="D551" s="44"/>
      <c r="E551"/>
      <c r="F551"/>
      <c r="G551"/>
    </row>
    <row r="552" spans="1:7" ht="14.45" customHeight="1">
      <c r="A552" s="271"/>
      <c r="B552" s="616" t="s">
        <v>1438</v>
      </c>
      <c r="C552" s="207"/>
      <c r="D552" s="975" t="s">
        <v>1599</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1438</v>
      </c>
      <c r="C555" s="207"/>
      <c r="D555" s="975" t="s">
        <v>1601</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1438</v>
      </c>
      <c r="C558" s="207"/>
      <c r="D558" s="975" t="s">
        <v>1602</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1438</v>
      </c>
      <c r="C561" s="207"/>
      <c r="D561" s="975" t="s">
        <v>1603</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132</v>
      </c>
      <c r="C565" s="207"/>
      <c r="D565" s="969" t="s">
        <v>1700</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1438</v>
      </c>
      <c r="C568" s="207"/>
      <c r="D568" s="975" t="s">
        <v>1604</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1438</v>
      </c>
      <c r="C571" s="207"/>
      <c r="D571" s="995" t="s">
        <v>1605</v>
      </c>
      <c r="E571" s="995"/>
      <c r="F571" s="995"/>
      <c r="G571"/>
    </row>
    <row r="572" spans="1:7" ht="14.25">
      <c r="A572" s="271"/>
      <c r="B572" s="271"/>
      <c r="C572" s="207"/>
      <c r="D572" s="1023" t="s">
        <v>2178</v>
      </c>
      <c r="E572" s="1023"/>
      <c r="F572" s="1023"/>
      <c r="G572"/>
    </row>
    <row r="573" spans="1:7" ht="12.75">
      <c r="A573" s="18"/>
      <c r="B573" s="18"/>
      <c r="C573" s="207"/>
      <c r="D573" s="938"/>
      <c r="E573" s="104" t="s">
        <v>2179</v>
      </c>
      <c r="F573" s="939"/>
      <c r="G573"/>
    </row>
    <row r="574" spans="1:7" ht="15" customHeight="1">
      <c r="A574" s="18"/>
      <c r="B574" s="18"/>
      <c r="C574" s="207"/>
      <c r="D574" s="969" t="s">
        <v>1823</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1438</v>
      </c>
      <c r="C584" s="207"/>
      <c r="D584" s="995" t="s">
        <v>1606</v>
      </c>
      <c r="E584" s="995"/>
      <c r="F584" s="995"/>
      <c r="G584"/>
    </row>
    <row r="585" spans="1:7" ht="13.7" customHeight="1">
      <c r="C585" s="207"/>
      <c r="D585" s="975" t="s">
        <v>1607</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1438</v>
      </c>
      <c r="C589" s="207"/>
      <c r="D589" s="975" t="s">
        <v>2261</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132</v>
      </c>
      <c r="C594" s="191"/>
      <c r="D594" s="998" t="s">
        <v>1887</v>
      </c>
      <c r="E594" s="999"/>
      <c r="F594" s="999"/>
    </row>
    <row r="595" spans="1:7" ht="12.75">
      <c r="A595" s="191"/>
      <c r="B595" s="191"/>
      <c r="C595" s="191"/>
    </row>
    <row r="596" spans="1:7" ht="12.75">
      <c r="A596" s="207"/>
      <c r="B596" s="207"/>
      <c r="C596" s="207"/>
      <c r="D596" s="24"/>
      <c r="E596" s="24"/>
      <c r="F596" s="24"/>
    </row>
    <row r="597" spans="1:7" ht="12.75">
      <c r="A597" s="1000" t="s">
        <v>1455</v>
      </c>
      <c r="B597" s="1000"/>
      <c r="C597" s="1000"/>
      <c r="D597" s="1000"/>
      <c r="E597" s="1000"/>
      <c r="F597" s="1000"/>
      <c r="G597" s="1000"/>
    </row>
    <row r="598" spans="1:7" ht="12.75">
      <c r="A598" s="207"/>
      <c r="B598" s="207"/>
      <c r="C598" s="207"/>
    </row>
    <row r="599" spans="1:7" ht="12.75">
      <c r="C599" s="190"/>
      <c r="D599" s="1002" t="s">
        <v>176</v>
      </c>
      <c r="E599" s="1002"/>
      <c r="F599" s="1002"/>
    </row>
    <row r="600" spans="1:7" ht="12.75">
      <c r="C600" s="190"/>
      <c r="D600" s="1003" t="s">
        <v>1507</v>
      </c>
      <c r="E600" s="1003"/>
      <c r="F600" s="1003"/>
    </row>
    <row r="601" spans="1:7" ht="12.75">
      <c r="C601" s="190"/>
      <c r="D601" s="375"/>
    </row>
    <row r="602" spans="1:7" ht="14.25">
      <c r="A602" s="271"/>
      <c r="B602" s="616" t="s">
        <v>1438</v>
      </c>
      <c r="D602" s="1003" t="s">
        <v>1159</v>
      </c>
      <c r="E602" s="1003"/>
      <c r="F602" s="1003"/>
    </row>
    <row r="603" spans="1:7" ht="12.75">
      <c r="A603" s="18"/>
      <c r="B603" s="18"/>
      <c r="D603" s="365"/>
    </row>
    <row r="604" spans="1:7" ht="14.45" customHeight="1">
      <c r="A604" s="271"/>
      <c r="B604" s="616" t="s">
        <v>1438</v>
      </c>
      <c r="D604" s="1003" t="s">
        <v>2262</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132</v>
      </c>
      <c r="D608" s="1003" t="s">
        <v>1508</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1438</v>
      </c>
      <c r="D613" s="1003" t="s">
        <v>2263</v>
      </c>
      <c r="E613" s="1003"/>
      <c r="F613" s="1003"/>
    </row>
    <row r="614" spans="1:7" ht="14.25">
      <c r="A614" s="271"/>
      <c r="B614" s="271"/>
      <c r="D614" s="1003"/>
      <c r="E614" s="1003"/>
      <c r="F614" s="1003"/>
    </row>
    <row r="615" spans="1:7" ht="14.25">
      <c r="A615" s="271"/>
      <c r="B615" s="271"/>
      <c r="D615" s="375"/>
    </row>
    <row r="616" spans="1:7" ht="14.45" customHeight="1">
      <c r="A616" s="271"/>
      <c r="B616" s="616" t="s">
        <v>132</v>
      </c>
      <c r="D616" s="1003" t="s">
        <v>1512</v>
      </c>
      <c r="E616" s="1003"/>
      <c r="F616" s="1003"/>
    </row>
    <row r="617" spans="1:7" ht="14.25">
      <c r="A617" s="271"/>
      <c r="B617" s="271"/>
      <c r="D617" s="1003"/>
      <c r="E617" s="1003"/>
      <c r="F617" s="1003"/>
    </row>
    <row r="618" spans="1:7" ht="14.25">
      <c r="A618" s="271"/>
      <c r="B618" s="271"/>
      <c r="D618" s="375"/>
    </row>
    <row r="619" spans="1:7" ht="14.25">
      <c r="A619" s="271"/>
      <c r="B619" s="616" t="s">
        <v>1438</v>
      </c>
      <c r="D619" s="1003" t="s">
        <v>1160</v>
      </c>
      <c r="E619" s="1003"/>
      <c r="F619" s="1003"/>
    </row>
    <row r="620" spans="1:7" ht="12.75">
      <c r="A620" s="18"/>
      <c r="B620" s="18"/>
    </row>
    <row r="621" spans="1:7" ht="12.75">
      <c r="A621" s="1000" t="s">
        <v>1457</v>
      </c>
      <c r="B621" s="1000"/>
      <c r="C621" s="1000"/>
      <c r="D621" s="1000"/>
      <c r="E621" s="1000"/>
      <c r="F621" s="1000"/>
      <c r="G621" s="1000"/>
    </row>
    <row r="622" spans="1:7" ht="12.75">
      <c r="A622" s="63"/>
      <c r="B622" s="63"/>
    </row>
    <row r="623" spans="1:7" ht="12.75">
      <c r="C623" s="191"/>
      <c r="D623" s="1009" t="s">
        <v>1456</v>
      </c>
      <c r="E623" s="1009"/>
      <c r="F623" s="1009"/>
    </row>
    <row r="624" spans="1:7" ht="12.75">
      <c r="C624" s="191"/>
      <c r="D624" s="999" t="s">
        <v>1483</v>
      </c>
      <c r="E624" s="999"/>
      <c r="F624" s="999"/>
    </row>
    <row r="625" spans="1:7" ht="12.75">
      <c r="C625" s="191"/>
      <c r="D625" s="102"/>
      <c r="E625" s="102"/>
      <c r="F625" s="102"/>
    </row>
    <row r="626" spans="1:7" ht="14.25" customHeight="1">
      <c r="A626" s="271"/>
      <c r="B626" s="616" t="s">
        <v>1438</v>
      </c>
      <c r="D626" s="990" t="s">
        <v>2181</v>
      </c>
      <c r="E626" s="991"/>
      <c r="F626" s="991"/>
    </row>
    <row r="627" spans="1:7" ht="12.75">
      <c r="D627" s="991"/>
      <c r="E627" s="991"/>
      <c r="F627" s="991"/>
    </row>
    <row r="628" spans="1:7" ht="12.75">
      <c r="D628" s="940"/>
      <c r="E628" s="934" t="s">
        <v>2180</v>
      </c>
      <c r="F628" s="940"/>
    </row>
    <row r="629" spans="1:7" ht="12.75">
      <c r="A629" s="63"/>
      <c r="B629" s="63"/>
    </row>
    <row r="630" spans="1:7" ht="12" customHeight="1">
      <c r="A630" s="1000" t="s">
        <v>1459</v>
      </c>
      <c r="B630" s="1000"/>
      <c r="C630" s="1000"/>
      <c r="D630" s="1000"/>
      <c r="E630" s="1000"/>
      <c r="F630" s="1000"/>
      <c r="G630" s="1000"/>
    </row>
    <row r="631" spans="1:7" ht="12.75">
      <c r="A631" s="44"/>
      <c r="B631" s="44"/>
    </row>
    <row r="632" spans="1:7" ht="12.75">
      <c r="C632" s="190"/>
      <c r="D632" s="1001" t="s">
        <v>1458</v>
      </c>
      <c r="E632" s="1001"/>
      <c r="F632" s="1001"/>
    </row>
    <row r="633" spans="1:7" ht="12.75">
      <c r="A633" s="191"/>
      <c r="B633" s="191"/>
      <c r="C633" s="191"/>
      <c r="D633" s="995" t="s">
        <v>1621</v>
      </c>
      <c r="E633" s="995"/>
      <c r="F633" s="995"/>
    </row>
    <row r="634" spans="1:7" ht="12.75">
      <c r="A634" s="191"/>
      <c r="B634" s="191"/>
      <c r="C634" s="191"/>
    </row>
    <row r="635" spans="1:7" ht="14.25">
      <c r="A635" s="271"/>
      <c r="B635" s="271"/>
      <c r="D635" s="1009" t="s">
        <v>909</v>
      </c>
      <c r="E635" s="1009"/>
      <c r="F635" s="1009"/>
    </row>
    <row r="636" spans="1:7" ht="14.25">
      <c r="A636" s="271"/>
      <c r="B636" s="616" t="s">
        <v>1438</v>
      </c>
      <c r="D636" s="999" t="s">
        <v>1622</v>
      </c>
      <c r="E636" s="999"/>
      <c r="F636" s="999"/>
    </row>
    <row r="637" spans="1:7" ht="14.25">
      <c r="A637" s="271"/>
      <c r="B637" s="271"/>
      <c r="D637" s="44"/>
    </row>
    <row r="638" spans="1:7" ht="14.25">
      <c r="A638" s="271"/>
      <c r="B638" s="616" t="s">
        <v>1438</v>
      </c>
      <c r="D638" s="975" t="s">
        <v>1623</v>
      </c>
      <c r="E638" s="975"/>
      <c r="F638" s="975"/>
    </row>
    <row r="639" spans="1:7" ht="14.25">
      <c r="A639" s="271"/>
      <c r="B639" s="271"/>
      <c r="D639" s="975"/>
      <c r="E639" s="975"/>
      <c r="F639" s="975"/>
    </row>
    <row r="640" spans="1:7" ht="14.25">
      <c r="A640" s="271"/>
      <c r="B640" s="271"/>
      <c r="D640" s="44"/>
    </row>
    <row r="641" spans="1:7" ht="14.25">
      <c r="A641" s="271"/>
      <c r="B641" s="616" t="s">
        <v>1438</v>
      </c>
      <c r="D641" s="969" t="s">
        <v>2011</v>
      </c>
      <c r="E641" s="969"/>
      <c r="F641" s="969"/>
    </row>
    <row r="642" spans="1:7" ht="13.7" customHeight="1">
      <c r="D642" s="969"/>
      <c r="E642" s="969"/>
      <c r="F642" s="969"/>
    </row>
    <row r="643" spans="1:7" ht="12.75"/>
    <row r="644" spans="1:7" ht="14.25">
      <c r="A644" s="271"/>
      <c r="B644" s="616" t="s">
        <v>1438</v>
      </c>
      <c r="D644" s="999" t="s">
        <v>1624</v>
      </c>
      <c r="E644" s="999"/>
      <c r="F644" s="999"/>
    </row>
    <row r="645" spans="1:7" ht="12.75">
      <c r="A645" s="190"/>
      <c r="B645" s="190"/>
      <c r="C645" s="190"/>
    </row>
    <row r="646" spans="1:7" ht="12.75">
      <c r="A646" s="1000" t="s">
        <v>1460</v>
      </c>
      <c r="B646" s="1000"/>
      <c r="C646" s="1000"/>
      <c r="D646" s="1000"/>
      <c r="E646" s="1000"/>
      <c r="F646" s="1000"/>
      <c r="G646" s="1000"/>
    </row>
    <row r="647" spans="1:7" ht="12.75">
      <c r="A647" s="190"/>
      <c r="B647" s="190"/>
      <c r="C647" s="190"/>
    </row>
    <row r="648" spans="1:7" ht="12.75">
      <c r="C648" s="18"/>
      <c r="D648" s="1039" t="s">
        <v>1484</v>
      </c>
      <c r="E648" s="1039"/>
      <c r="F648" s="1039"/>
    </row>
    <row r="649" spans="1:7" ht="12.75">
      <c r="A649" s="18"/>
      <c r="B649" s="18"/>
      <c r="D649" s="3"/>
    </row>
    <row r="650" spans="1:7" ht="14.25" customHeight="1">
      <c r="A650" s="271"/>
      <c r="B650" s="616" t="s">
        <v>1438</v>
      </c>
      <c r="D650" s="990" t="s">
        <v>2264</v>
      </c>
      <c r="E650" s="990"/>
      <c r="F650" s="990"/>
    </row>
    <row r="651" spans="1:7" ht="14.25">
      <c r="A651" s="271"/>
      <c r="B651" s="271"/>
      <c r="D651" s="990"/>
      <c r="E651" s="990"/>
      <c r="F651" s="990"/>
    </row>
    <row r="652" spans="1:7" ht="12.75">
      <c r="D652" s="940"/>
      <c r="E652" s="934" t="s">
        <v>2183</v>
      </c>
      <c r="F652" s="940"/>
    </row>
    <row r="653" spans="1:7" ht="12.75">
      <c r="D653" s="972" t="s">
        <v>2182</v>
      </c>
      <c r="E653" s="972"/>
      <c r="F653" s="972"/>
    </row>
    <row r="654" spans="1:7" ht="12.75" customHeight="1">
      <c r="D654" s="972"/>
      <c r="E654" s="972"/>
      <c r="F654" s="972"/>
    </row>
    <row r="655" spans="1:7" ht="12.75">
      <c r="B655"/>
      <c r="D655" s="972"/>
      <c r="E655" s="972"/>
      <c r="F655" s="972"/>
    </row>
    <row r="656" spans="1:7" ht="12.75"/>
    <row r="657" spans="1:9" ht="14.25">
      <c r="A657" s="303"/>
      <c r="B657" s="616" t="s">
        <v>1438</v>
      </c>
      <c r="D657" s="1040" t="s">
        <v>1625</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1438</v>
      </c>
      <c r="D660" s="1010" t="s">
        <v>1888</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1438</v>
      </c>
      <c r="C663" s="207"/>
      <c r="D663" s="1041" t="s">
        <v>1626</v>
      </c>
      <c r="E663" s="1041"/>
      <c r="F663" s="1041"/>
      <c r="G663" s="44"/>
    </row>
    <row r="664" spans="1:9" ht="12.75">
      <c r="A664" s="44"/>
      <c r="B664" s="44"/>
      <c r="C664" s="207"/>
      <c r="D664" s="44"/>
      <c r="E664" s="44"/>
      <c r="F664" s="44"/>
      <c r="G664" s="44"/>
      <c r="H664" s="267"/>
      <c r="I664" s="267"/>
    </row>
    <row r="665" spans="1:9" ht="12.75">
      <c r="A665" s="1000" t="s">
        <v>1462</v>
      </c>
      <c r="B665" s="1000"/>
      <c r="C665" s="1000"/>
      <c r="D665" s="1000"/>
      <c r="E665" s="1000"/>
      <c r="F665" s="1000"/>
      <c r="G665" s="1000"/>
    </row>
    <row r="666" spans="1:9" ht="12.75">
      <c r="A666" s="44"/>
      <c r="B666" s="44"/>
      <c r="C666" s="207"/>
      <c r="D666" s="44"/>
      <c r="E666" s="44"/>
      <c r="F666" s="44"/>
      <c r="G666" s="44"/>
    </row>
    <row r="667" spans="1:9" ht="12.75">
      <c r="C667" s="190"/>
      <c r="D667" s="1001" t="s">
        <v>1461</v>
      </c>
      <c r="E667" s="1001"/>
      <c r="F667" s="1001"/>
      <c r="G667" s="44"/>
    </row>
    <row r="668" spans="1:9" ht="12.75">
      <c r="A668" s="191"/>
      <c r="B668" s="191"/>
      <c r="C668" s="191"/>
      <c r="D668" s="995" t="s">
        <v>1485</v>
      </c>
      <c r="E668" s="995"/>
      <c r="F668" s="995"/>
      <c r="G668" s="44"/>
    </row>
    <row r="669" spans="1:9" ht="12.75">
      <c r="A669" s="191"/>
      <c r="B669" s="191"/>
      <c r="C669" s="191"/>
      <c r="D669" s="44"/>
      <c r="E669" s="44"/>
      <c r="F669" s="44"/>
      <c r="G669" s="44"/>
    </row>
    <row r="670" spans="1:9" ht="14.45" customHeight="1">
      <c r="A670" s="271"/>
      <c r="B670" s="616" t="s">
        <v>1438</v>
      </c>
      <c r="C670" s="207"/>
      <c r="D670" s="969" t="s">
        <v>1963</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26" t="s">
        <v>1505</v>
      </c>
      <c r="E677" s="1026"/>
      <c r="F677" s="1026"/>
      <c r="G677" s="44"/>
    </row>
    <row r="678" spans="1:7" ht="14.25" hidden="1">
      <c r="A678" s="271"/>
      <c r="B678" s="271"/>
      <c r="C678" s="207"/>
      <c r="D678" s="1021" t="s">
        <v>2265</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1962</v>
      </c>
      <c r="E683" s="1042"/>
      <c r="F683" s="1042"/>
      <c r="G683" s="44"/>
    </row>
    <row r="684" spans="1:7" ht="12.75">
      <c r="A684" s="44"/>
      <c r="B684" s="44"/>
      <c r="C684" s="207"/>
      <c r="D684" s="44"/>
      <c r="E684" s="44"/>
      <c r="F684" s="44"/>
      <c r="G684" s="44"/>
    </row>
    <row r="685" spans="1:7" ht="12.75">
      <c r="A685" s="1000" t="s">
        <v>1463</v>
      </c>
      <c r="B685" s="1000"/>
      <c r="C685" s="1000"/>
      <c r="D685" s="1000"/>
      <c r="E685" s="1000"/>
      <c r="F685" s="1000"/>
      <c r="G685" s="1000"/>
    </row>
    <row r="686" spans="1:7" ht="12.75">
      <c r="A686" s="44"/>
      <c r="B686" s="44"/>
      <c r="C686" s="207"/>
      <c r="D686" s="44"/>
      <c r="E686" s="44"/>
      <c r="F686" s="44"/>
      <c r="G686" s="44"/>
    </row>
    <row r="687" spans="1:7" ht="12.75">
      <c r="C687" s="190"/>
      <c r="D687" s="1001" t="s">
        <v>818</v>
      </c>
      <c r="E687" s="1001"/>
      <c r="F687" s="1001"/>
      <c r="G687" s="44"/>
    </row>
    <row r="688" spans="1:7" ht="12.75">
      <c r="A688" s="190"/>
      <c r="B688" s="190"/>
      <c r="C688" s="190"/>
      <c r="D688" s="1001" t="s">
        <v>910</v>
      </c>
      <c r="E688" s="1001"/>
      <c r="F688" s="1001"/>
      <c r="G688" s="44"/>
    </row>
    <row r="689" spans="1:6" ht="12.75">
      <c r="A689" s="191"/>
      <c r="B689" s="191"/>
      <c r="C689" s="191"/>
      <c r="D689" s="995" t="s">
        <v>1590</v>
      </c>
      <c r="E689" s="995"/>
      <c r="F689" s="995"/>
    </row>
    <row r="690" spans="1:6" ht="14.25" customHeight="1">
      <c r="A690" s="191"/>
      <c r="B690" s="191"/>
      <c r="C690" s="191"/>
    </row>
    <row r="691" spans="1:6" ht="14.25">
      <c r="A691" s="271"/>
      <c r="B691" s="616" t="s">
        <v>1438</v>
      </c>
      <c r="C691" s="191"/>
      <c r="D691" s="995" t="s">
        <v>1161</v>
      </c>
      <c r="E691" s="995"/>
      <c r="F691" s="995"/>
    </row>
    <row r="692" spans="1:6" ht="12.75">
      <c r="A692" s="191"/>
      <c r="B692" s="191"/>
      <c r="C692" s="191"/>
      <c r="D692" s="995" t="s">
        <v>1179</v>
      </c>
      <c r="E692" s="995"/>
      <c r="F692" s="995"/>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5" t="s">
        <v>2266</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1438</v>
      </c>
      <c r="C700" s="191"/>
      <c r="D700" s="995" t="s">
        <v>1220</v>
      </c>
      <c r="E700" s="995"/>
      <c r="F700" s="995"/>
    </row>
    <row r="701" spans="1:6" ht="14.25">
      <c r="A701" s="271"/>
      <c r="B701" s="271"/>
      <c r="C701" s="191"/>
      <c r="D701" s="995" t="s">
        <v>1179</v>
      </c>
      <c r="E701" s="995"/>
      <c r="F701" s="995"/>
    </row>
    <row r="702" spans="1:6" ht="12.75">
      <c r="A702" s="191"/>
      <c r="B702" s="191"/>
      <c r="C702" s="191"/>
      <c r="E702" s="1012" t="s">
        <v>2186</v>
      </c>
      <c r="F702" s="1012"/>
    </row>
    <row r="703" spans="1:6" ht="12.75">
      <c r="A703" s="191"/>
      <c r="B703" s="191"/>
      <c r="C703" s="191"/>
      <c r="D703" s="3"/>
    </row>
    <row r="704" spans="1:6" ht="14.25">
      <c r="A704" s="271"/>
      <c r="B704" s="616" t="s">
        <v>1438</v>
      </c>
      <c r="C704" s="191"/>
      <c r="D704" s="975" t="s">
        <v>1592</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1438</v>
      </c>
      <c r="C711" s="191"/>
      <c r="D711" s="969" t="s">
        <v>1803</v>
      </c>
      <c r="E711" s="975"/>
      <c r="F711" s="975"/>
    </row>
    <row r="712" spans="1:6" ht="12.75">
      <c r="A712" s="191"/>
      <c r="B712" s="191"/>
      <c r="C712" s="191"/>
      <c r="D712" s="975"/>
      <c r="E712" s="975"/>
      <c r="F712" s="975"/>
    </row>
    <row r="713" spans="1:6" ht="12.75">
      <c r="A713" s="191"/>
      <c r="B713" s="191"/>
      <c r="C713" s="191"/>
    </row>
    <row r="714" spans="1:6" ht="14.45" customHeight="1">
      <c r="A714" s="271"/>
      <c r="B714" s="616" t="s">
        <v>132</v>
      </c>
      <c r="C714" s="191"/>
      <c r="D714" s="975" t="s">
        <v>1593</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132</v>
      </c>
      <c r="C727" s="191"/>
      <c r="D727" s="975" t="s">
        <v>1597</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132</v>
      </c>
      <c r="C730" s="191"/>
      <c r="D730" s="975" t="s">
        <v>1598</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132</v>
      </c>
      <c r="C734" s="191"/>
      <c r="D734" s="969" t="s">
        <v>2012</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132</v>
      </c>
      <c r="C738" s="191"/>
      <c r="D738" s="975" t="s">
        <v>1594</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132</v>
      </c>
      <c r="C742" s="191"/>
      <c r="D742" s="975" t="s">
        <v>1596</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132</v>
      </c>
      <c r="C747" s="191"/>
      <c r="D747" s="969" t="s">
        <v>2344</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1595</v>
      </c>
      <c r="E754" s="1037"/>
      <c r="F754" s="1037"/>
      <c r="H754" s="267"/>
      <c r="I754" s="267"/>
    </row>
    <row r="755" spans="1:9" ht="12.75">
      <c r="A755" s="191"/>
      <c r="B755" s="191"/>
      <c r="C755" s="191"/>
      <c r="D755" s="567"/>
      <c r="H755" s="267"/>
      <c r="I755" s="267"/>
    </row>
    <row r="756" spans="1:9" ht="12.75">
      <c r="A756" s="1020" t="s">
        <v>1492</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1513</v>
      </c>
      <c r="E758" s="1002"/>
      <c r="F758" s="1002"/>
      <c r="H758" s="267"/>
      <c r="I758" s="267"/>
    </row>
    <row r="759" spans="1:9" ht="12.75">
      <c r="A759" s="190"/>
      <c r="B759" s="190"/>
      <c r="C759" s="190"/>
      <c r="D759" s="999" t="s">
        <v>1516</v>
      </c>
      <c r="E759" s="999"/>
      <c r="F759" s="999"/>
      <c r="H759" s="267"/>
      <c r="I759" s="267"/>
    </row>
    <row r="760" spans="1:9" ht="12.75">
      <c r="A760" s="191"/>
      <c r="B760" s="191"/>
      <c r="C760" s="191"/>
      <c r="H760" s="267"/>
      <c r="I760" s="267"/>
    </row>
    <row r="761" spans="1:9" ht="14.25" customHeight="1">
      <c r="A761" s="271"/>
      <c r="B761" s="616" t="s">
        <v>1438</v>
      </c>
      <c r="D761" s="975" t="s">
        <v>1514</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1438</v>
      </c>
      <c r="D768" s="1010" t="s">
        <v>1949</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132</v>
      </c>
      <c r="C773" s="437"/>
      <c r="D773" s="1008" t="s">
        <v>1950</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132</v>
      </c>
      <c r="D777" s="975" t="s">
        <v>1515</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132</v>
      </c>
      <c r="D780" s="969" t="s">
        <v>1826</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1660</v>
      </c>
      <c r="B784" s="1020"/>
      <c r="C784" s="1020"/>
      <c r="D784" s="1020"/>
      <c r="E784" s="1020"/>
      <c r="F784" s="1020"/>
      <c r="G784" s="1020"/>
      <c r="H784" s="267"/>
      <c r="I784" s="267"/>
    </row>
    <row r="785" spans="1:9" ht="12.75">
      <c r="A785" s="63"/>
      <c r="B785" s="63"/>
      <c r="H785" s="267"/>
      <c r="I785" s="267"/>
    </row>
    <row r="786" spans="1:9" ht="13.7" customHeight="1">
      <c r="A786" s="63"/>
      <c r="B786" s="63"/>
      <c r="D786" s="1048" t="s">
        <v>1661</v>
      </c>
      <c r="E786" s="1048"/>
      <c r="F786" s="1048"/>
      <c r="H786" s="267"/>
      <c r="I786" s="267"/>
    </row>
    <row r="787" spans="1:9" ht="12.75">
      <c r="A787" s="63"/>
      <c r="B787" s="63"/>
      <c r="D787" s="1005" t="s">
        <v>1662</v>
      </c>
      <c r="E787" s="1005"/>
      <c r="F787" s="1005"/>
      <c r="H787" s="267"/>
      <c r="I787" s="267"/>
    </row>
    <row r="788" spans="1:9" ht="12.75">
      <c r="A788" s="63"/>
      <c r="B788" s="63"/>
      <c r="D788" s="424"/>
      <c r="E788" s="424"/>
      <c r="F788" s="424"/>
      <c r="H788" s="267"/>
      <c r="I788" s="267"/>
    </row>
    <row r="789" spans="1:9" ht="12.75">
      <c r="A789" s="63"/>
      <c r="B789" s="616" t="s">
        <v>1438</v>
      </c>
      <c r="D789" s="1021" t="s">
        <v>1663</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1438</v>
      </c>
      <c r="C793" s="190"/>
      <c r="D793" s="1008" t="s">
        <v>2333</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132</v>
      </c>
      <c r="C797" s="207"/>
      <c r="D797" s="1008" t="s">
        <v>1767</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132</v>
      </c>
      <c r="C801" s="207"/>
      <c r="D801" s="1021" t="s">
        <v>1664</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2104</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132</v>
      </c>
      <c r="C810" s="207"/>
      <c r="D810" s="1021" t="s">
        <v>1666</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132</v>
      </c>
      <c r="C817" s="207"/>
      <c r="D817" s="1008" t="s">
        <v>1951</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132</v>
      </c>
      <c r="C823" s="207"/>
      <c r="D823" s="1021" t="s">
        <v>1665</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132</v>
      </c>
      <c r="C828" s="207"/>
      <c r="D828" s="1029" t="s">
        <v>1668</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132</v>
      </c>
      <c r="C835" s="207"/>
      <c r="D835" s="1021" t="s">
        <v>1667</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132</v>
      </c>
      <c r="C838" s="207"/>
      <c r="D838" s="1029" t="s">
        <v>1669</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1968</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1583</v>
      </c>
      <c r="E843" s="1002"/>
      <c r="F843" s="1002"/>
      <c r="H843" s="267"/>
      <c r="I843" s="267"/>
    </row>
    <row r="844" spans="1:9" ht="14.25">
      <c r="A844" s="271"/>
      <c r="B844" s="271"/>
      <c r="D844" s="969" t="s">
        <v>1965</v>
      </c>
      <c r="E844" s="969"/>
      <c r="F844" s="969"/>
      <c r="H844" s="267"/>
      <c r="I844" s="267"/>
    </row>
    <row r="845" spans="1:9" ht="14.25">
      <c r="A845" s="271"/>
      <c r="B845" s="271"/>
      <c r="D845" s="24"/>
      <c r="E845" s="210"/>
      <c r="F845" s="210"/>
      <c r="H845" s="267"/>
      <c r="I845" s="267"/>
    </row>
    <row r="846" spans="1:9" ht="12.75">
      <c r="B846" s="616" t="s">
        <v>1438</v>
      </c>
      <c r="C846" s="207"/>
      <c r="D846" s="975" t="s">
        <v>1519</v>
      </c>
      <c r="E846" s="975"/>
      <c r="F846" s="975"/>
      <c r="H846" s="267"/>
      <c r="I846" s="267"/>
    </row>
    <row r="847" spans="1:9" ht="12.75">
      <c r="A847" s="18"/>
      <c r="B847" s="18"/>
      <c r="C847" s="207"/>
      <c r="D847" s="3" t="s">
        <v>1496</v>
      </c>
      <c r="E847" s="976" t="s">
        <v>2169</v>
      </c>
      <c r="F847" s="976"/>
      <c r="H847" s="267"/>
      <c r="I847" s="267"/>
    </row>
    <row r="848" spans="1:9" ht="12.75">
      <c r="A848" s="18"/>
      <c r="B848" s="18"/>
      <c r="C848" s="207"/>
      <c r="D848" s="213"/>
      <c r="H848" s="267"/>
      <c r="I848" s="267"/>
    </row>
    <row r="849" spans="1:9" ht="12.75">
      <c r="A849" s="18"/>
      <c r="B849" s="616" t="s">
        <v>132</v>
      </c>
      <c r="C849" s="207"/>
      <c r="D849" s="1038" t="s">
        <v>1748</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1438</v>
      </c>
      <c r="C859" s="207"/>
      <c r="D859" s="975" t="s">
        <v>1520</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132</v>
      </c>
      <c r="C863" s="207"/>
      <c r="D863" s="1002" t="s">
        <v>1521</v>
      </c>
      <c r="E863" s="1002"/>
      <c r="F863" s="1002"/>
      <c r="H863" s="267"/>
      <c r="I863" s="267"/>
    </row>
    <row r="864" spans="1:9" ht="12.75">
      <c r="B864" s="423"/>
      <c r="C864" s="207"/>
      <c r="D864" s="1002"/>
      <c r="E864" s="1002"/>
      <c r="F864" s="1002"/>
      <c r="H864" s="267"/>
      <c r="I864" s="267"/>
    </row>
    <row r="865" spans="1:9" ht="14.25" customHeight="1">
      <c r="A865" s="271"/>
      <c r="C865" s="207"/>
      <c r="D865" s="975" t="s">
        <v>2267</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132</v>
      </c>
      <c r="C872" s="207"/>
      <c r="D872" s="975" t="s">
        <v>1221</v>
      </c>
      <c r="E872" s="975"/>
      <c r="F872" s="975"/>
      <c r="H872" s="267"/>
      <c r="I872" s="267"/>
    </row>
    <row r="873" spans="1:9" ht="14.25">
      <c r="A873" s="271"/>
      <c r="B873" s="271"/>
      <c r="C873" s="207"/>
      <c r="D873" s="975" t="s">
        <v>1222</v>
      </c>
      <c r="E873" s="975"/>
      <c r="F873" s="975"/>
      <c r="H873" s="267"/>
      <c r="I873" s="267"/>
    </row>
    <row r="874" spans="1:9" ht="14.25">
      <c r="A874" s="271"/>
      <c r="B874" s="271"/>
      <c r="C874" s="207"/>
      <c r="D874" s="3" t="s">
        <v>1495</v>
      </c>
      <c r="E874" s="976" t="s">
        <v>2171</v>
      </c>
      <c r="F874" s="976"/>
      <c r="H874" s="267"/>
      <c r="I874" s="267"/>
    </row>
    <row r="875" spans="1:9" ht="14.25">
      <c r="A875" s="271"/>
      <c r="B875" s="271"/>
      <c r="C875" s="207"/>
      <c r="D875" s="44"/>
      <c r="H875" s="267"/>
      <c r="I875" s="267"/>
    </row>
    <row r="876" spans="1:9" ht="14.25">
      <c r="A876" s="271"/>
      <c r="B876" s="616" t="s">
        <v>132</v>
      </c>
      <c r="C876" s="207"/>
      <c r="D876" s="975" t="s">
        <v>1522</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1" t="s">
        <v>1582</v>
      </c>
      <c r="E883" s="1001"/>
      <c r="F883" s="1001"/>
      <c r="G883" s="188"/>
      <c r="H883" s="267"/>
      <c r="I883" s="267"/>
    </row>
    <row r="884" spans="1:9" ht="12.75">
      <c r="C884" s="191"/>
      <c r="D884" s="1046" t="s">
        <v>1966</v>
      </c>
      <c r="E884" s="1047"/>
      <c r="F884" s="1047"/>
      <c r="G884" s="188"/>
      <c r="H884" s="267"/>
      <c r="I884" s="267"/>
    </row>
    <row r="885" spans="1:9" ht="12.75">
      <c r="C885" s="191"/>
      <c r="D885" s="647"/>
      <c r="E885" s="647"/>
      <c r="F885" s="647"/>
      <c r="G885" s="188"/>
      <c r="H885" s="267"/>
      <c r="I885" s="267"/>
    </row>
    <row r="886" spans="1:9" ht="14.25">
      <c r="A886" s="271"/>
      <c r="B886" s="616" t="s">
        <v>1438</v>
      </c>
      <c r="D886" s="995" t="s">
        <v>1541</v>
      </c>
      <c r="E886" s="995"/>
      <c r="F886" s="995"/>
      <c r="G886" s="188"/>
      <c r="H886" s="267"/>
      <c r="I886" s="267"/>
    </row>
    <row r="887" spans="1:9" ht="12.75">
      <c r="D887" s="3" t="s">
        <v>1495</v>
      </c>
      <c r="E887" s="1045" t="s">
        <v>2171</v>
      </c>
      <c r="F887" s="1045"/>
      <c r="G887" s="188"/>
    </row>
    <row r="888" spans="1:9" ht="12.75">
      <c r="D888" s="44"/>
      <c r="E888" s="188"/>
      <c r="F888" s="188"/>
      <c r="G888" s="188"/>
      <c r="H888" s="267"/>
      <c r="I888" s="267"/>
    </row>
    <row r="889" spans="1:9" ht="14.25">
      <c r="A889" s="271"/>
      <c r="B889" s="616" t="s">
        <v>1438</v>
      </c>
      <c r="D889" s="969" t="s">
        <v>1969</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132</v>
      </c>
      <c r="D892" s="1043" t="s">
        <v>1750</v>
      </c>
      <c r="E892" s="1043"/>
      <c r="F892" s="1043"/>
      <c r="G892" s="188"/>
      <c r="H892" s="267"/>
      <c r="I892" s="267"/>
    </row>
    <row r="893" spans="1:9" ht="29.45" customHeight="1">
      <c r="B893" s="572"/>
      <c r="D893" s="1043"/>
      <c r="E893" s="1043"/>
      <c r="F893" s="1043"/>
      <c r="G893" s="188"/>
      <c r="H893" s="267"/>
      <c r="I893" s="267"/>
    </row>
    <row r="894" spans="1:9" ht="14.25">
      <c r="A894" s="271"/>
      <c r="B894"/>
      <c r="D894" s="975" t="s">
        <v>2267</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132</v>
      </c>
      <c r="D901" s="999" t="s">
        <v>1221</v>
      </c>
      <c r="E901" s="999"/>
      <c r="F901" s="999"/>
      <c r="G901" s="188"/>
      <c r="H901" s="267"/>
      <c r="I901" s="267"/>
    </row>
    <row r="902" spans="1:9" ht="14.25">
      <c r="A902" s="271"/>
      <c r="B902" s="271"/>
      <c r="D902" s="999" t="s">
        <v>1222</v>
      </c>
      <c r="E902" s="999"/>
      <c r="F902" s="999"/>
      <c r="G902" s="188"/>
      <c r="H902" s="267"/>
      <c r="I902" s="267"/>
    </row>
    <row r="903" spans="1:9" ht="14.25">
      <c r="A903" s="271"/>
      <c r="B903" s="271"/>
      <c r="D903" s="3" t="s">
        <v>1542</v>
      </c>
      <c r="E903" s="1044" t="s">
        <v>2171</v>
      </c>
      <c r="F903" s="1044"/>
      <c r="G903" s="188"/>
      <c r="H903" s="267"/>
      <c r="I903" s="267"/>
    </row>
    <row r="904" spans="1:9" ht="14.25">
      <c r="A904" s="271"/>
      <c r="B904" s="271"/>
      <c r="D904" s="44"/>
      <c r="E904" s="188"/>
      <c r="F904" s="188"/>
      <c r="G904" s="188"/>
      <c r="H904" s="267"/>
      <c r="I904" s="267"/>
    </row>
    <row r="905" spans="1:9" ht="14.25">
      <c r="A905" s="271"/>
      <c r="B905" s="616" t="s">
        <v>132</v>
      </c>
      <c r="D905" s="975" t="s">
        <v>1522</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1465</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1703</v>
      </c>
      <c r="E912" s="1026"/>
      <c r="F912" s="1026"/>
      <c r="G912" s="188"/>
      <c r="H912" s="267"/>
      <c r="I912" s="267"/>
    </row>
    <row r="913" spans="1:9" ht="12.75">
      <c r="A913" s="190"/>
      <c r="B913" s="190"/>
      <c r="C913" s="190"/>
      <c r="D913" s="995" t="s">
        <v>1540</v>
      </c>
      <c r="E913" s="995"/>
      <c r="F913" s="995"/>
      <c r="G913" s="188"/>
      <c r="H913" s="267"/>
      <c r="I913" s="267"/>
    </row>
    <row r="914" spans="1:9" ht="12.75">
      <c r="A914" s="190"/>
      <c r="B914" s="190"/>
      <c r="C914" s="190"/>
      <c r="F914" s="188"/>
      <c r="G914" s="188"/>
      <c r="H914" s="267"/>
      <c r="I914" s="267"/>
    </row>
    <row r="915" spans="1:9" ht="13.7" customHeight="1">
      <c r="A915" s="190"/>
      <c r="B915" s="616" t="s">
        <v>132</v>
      </c>
      <c r="C915" s="190"/>
      <c r="D915" s="1002" t="s">
        <v>1713</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1438</v>
      </c>
      <c r="C921" s="191"/>
      <c r="D921" s="976" t="s">
        <v>1799</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6" t="s">
        <v>1800</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4" t="s">
        <v>1714</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6" t="s">
        <v>1715</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1716</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1438</v>
      </c>
      <c r="D955" s="975" t="s">
        <v>1717</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1706</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3" t="s">
        <v>1705</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3" t="s">
        <v>1704</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132</v>
      </c>
      <c r="C973" s="207"/>
      <c r="D973" s="1003" t="s">
        <v>1707</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1438</v>
      </c>
      <c r="C979" s="207"/>
      <c r="D979" s="1003" t="s">
        <v>1708</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132</v>
      </c>
      <c r="C983" s="207"/>
      <c r="D983" s="1003" t="s">
        <v>1709</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132</v>
      </c>
      <c r="C986" s="207"/>
      <c r="D986" s="975" t="s">
        <v>1710</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1438</v>
      </c>
      <c r="C989" s="207"/>
      <c r="D989" s="1031" t="s">
        <v>1843</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132</v>
      </c>
      <c r="C994" s="207"/>
      <c r="D994" s="995" t="s">
        <v>2268</v>
      </c>
      <c r="E994" s="995"/>
      <c r="F994" s="995"/>
      <c r="G994" s="188"/>
      <c r="H994" s="267"/>
      <c r="I994" s="267"/>
    </row>
    <row r="995" spans="1:9" ht="12.75">
      <c r="A995" s="207"/>
      <c r="B995" s="207"/>
      <c r="C995" s="207"/>
      <c r="D995" s="44"/>
      <c r="E995" s="188"/>
      <c r="F995" s="188"/>
      <c r="G995" s="188"/>
      <c r="H995" s="267"/>
      <c r="I995" s="267"/>
    </row>
    <row r="996" spans="1:9" ht="12.75">
      <c r="A996" s="207"/>
      <c r="B996" s="616" t="s">
        <v>132</v>
      </c>
      <c r="C996" s="207"/>
      <c r="D996" s="995" t="s">
        <v>2269</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1543</v>
      </c>
      <c r="E998" s="1001"/>
      <c r="F998" s="1001"/>
      <c r="G998" s="188"/>
      <c r="H998" s="267"/>
      <c r="I998" s="267"/>
    </row>
    <row r="999" spans="1:9" ht="12.75">
      <c r="A999" s="207"/>
      <c r="C999" s="207"/>
      <c r="D999" s="192"/>
      <c r="E999" s="188"/>
      <c r="F999" s="188"/>
      <c r="G999" s="188"/>
      <c r="H999" s="267"/>
      <c r="I999" s="267"/>
    </row>
    <row r="1000" spans="1:9" ht="14.25">
      <c r="A1000" s="271"/>
      <c r="B1000" s="616" t="s">
        <v>1438</v>
      </c>
      <c r="C1000" s="207"/>
      <c r="D1000" s="975" t="s">
        <v>1711</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132</v>
      </c>
      <c r="C1006" s="207"/>
      <c r="D1006" s="975" t="s">
        <v>1712</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1544</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5" t="s">
        <v>1718</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1438</v>
      </c>
      <c r="C1018" s="207"/>
      <c r="D1018" s="975" t="s">
        <v>1719</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1545</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5" t="s">
        <v>1721</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5" t="s">
        <v>1720</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1438</v>
      </c>
      <c r="C1032" s="207"/>
      <c r="D1032" s="973" t="s">
        <v>1722</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5" t="s">
        <v>1723</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5" t="s">
        <v>1724</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5" t="s">
        <v>1546</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5" t="s">
        <v>1547</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19" t="s">
        <v>1170</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1548</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9" t="s">
        <v>2321</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9" t="s">
        <v>2322</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132</v>
      </c>
      <c r="C1076" s="207"/>
      <c r="D1076" s="1029" t="s">
        <v>1725</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132</v>
      </c>
      <c r="C1080" s="433"/>
      <c r="D1080" s="1030" t="s">
        <v>2270</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1549</v>
      </c>
      <c r="E1084" s="1001"/>
      <c r="F1084" s="1001"/>
      <c r="G1084" s="188"/>
    </row>
    <row r="1085" spans="1:9" ht="12.75">
      <c r="C1085" s="207"/>
      <c r="D1085" s="192"/>
      <c r="E1085" s="188"/>
      <c r="F1085" s="188"/>
      <c r="G1085" s="188"/>
    </row>
    <row r="1086" spans="1:9" ht="12.75">
      <c r="A1086" s="207"/>
      <c r="B1086" s="616" t="s">
        <v>132</v>
      </c>
      <c r="C1086" s="207"/>
      <c r="D1086" s="975" t="s">
        <v>1726</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132</v>
      </c>
      <c r="C1090" s="207"/>
      <c r="D1090" s="975" t="s">
        <v>1727</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1162</v>
      </c>
      <c r="E1094" s="1001"/>
      <c r="F1094" s="1001"/>
      <c r="G1094" s="188"/>
    </row>
    <row r="1095" spans="1:7" ht="12.75">
      <c r="A1095" s="207"/>
      <c r="B1095" s="207"/>
      <c r="C1095" s="207"/>
      <c r="D1095" s="995" t="s">
        <v>1550</v>
      </c>
      <c r="E1095" s="995"/>
      <c r="F1095" s="995"/>
      <c r="G1095" s="188"/>
    </row>
    <row r="1096" spans="1:7" ht="12.75">
      <c r="A1096" s="207"/>
      <c r="B1096" s="207"/>
      <c r="C1096" s="207"/>
      <c r="D1096" s="423"/>
      <c r="E1096" s="188"/>
      <c r="F1096" s="188"/>
      <c r="G1096" s="188"/>
    </row>
    <row r="1097" spans="1:7" ht="14.25">
      <c r="A1097" s="271"/>
      <c r="B1097" s="616" t="s">
        <v>132</v>
      </c>
      <c r="C1097" s="207"/>
      <c r="D1097" s="975" t="s">
        <v>1728</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132</v>
      </c>
      <c r="C1100" s="207"/>
      <c r="D1100" s="975" t="s">
        <v>1729</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1551</v>
      </c>
      <c r="E1103" s="1001"/>
      <c r="F1103" s="1001"/>
      <c r="G1103" s="188"/>
    </row>
    <row r="1104" spans="1:7" ht="12.75">
      <c r="A1104" s="207"/>
      <c r="B1104" s="207"/>
      <c r="C1104" s="207"/>
      <c r="D1104" s="192"/>
      <c r="E1104" s="188"/>
      <c r="F1104" s="188"/>
      <c r="G1104" s="188"/>
    </row>
    <row r="1105" spans="1:7" ht="14.25">
      <c r="A1105" s="271"/>
      <c r="B1105" s="616" t="s">
        <v>132</v>
      </c>
      <c r="C1105" s="207"/>
      <c r="D1105" s="975" t="s">
        <v>1730</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1438</v>
      </c>
      <c r="C1113" s="207"/>
      <c r="D1113" s="975" t="s">
        <v>1731</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132</v>
      </c>
      <c r="C1121" s="207"/>
      <c r="D1121" s="1031" t="s">
        <v>1844</v>
      </c>
      <c r="E1121" s="1029"/>
      <c r="F1121" s="1029"/>
      <c r="G1121" s="188"/>
    </row>
    <row r="1122" spans="1:7" ht="12.4"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1552</v>
      </c>
      <c r="E1125" s="1001"/>
      <c r="F1125" s="1001"/>
    </row>
    <row r="1126" spans="1:7" ht="12.75">
      <c r="D1126" s="192"/>
    </row>
    <row r="1127" spans="1:7" ht="14.25">
      <c r="A1127" s="271"/>
      <c r="B1127" s="616" t="s">
        <v>132</v>
      </c>
      <c r="D1127" s="975" t="s">
        <v>1732</v>
      </c>
      <c r="E1127" s="975"/>
      <c r="F1127" s="975"/>
    </row>
    <row r="1128" spans="1:7" ht="12.75">
      <c r="D1128" s="975"/>
      <c r="E1128" s="975"/>
      <c r="F1128" s="975"/>
    </row>
    <row r="1129" spans="1:7" ht="12.75"/>
    <row r="1130" spans="1:7" ht="14.25">
      <c r="A1130" s="271"/>
      <c r="B1130" s="616" t="s">
        <v>1438</v>
      </c>
      <c r="D1130" s="975" t="s">
        <v>1733</v>
      </c>
      <c r="E1130" s="975"/>
      <c r="F1130" s="975"/>
    </row>
    <row r="1131" spans="1:7" ht="12.75">
      <c r="D1131" s="975"/>
      <c r="E1131" s="975"/>
      <c r="F1131" s="975"/>
    </row>
    <row r="1132" spans="1:7" ht="12.75"/>
    <row r="1133" spans="1:7" ht="12.75">
      <c r="D1133" s="1001" t="s">
        <v>1553</v>
      </c>
      <c r="E1133" s="1001"/>
      <c r="F1133" s="1001"/>
    </row>
    <row r="1134" spans="1:7" ht="12.75">
      <c r="D1134" s="192"/>
    </row>
    <row r="1135" spans="1:7" ht="14.25">
      <c r="A1135" s="271"/>
      <c r="B1135" s="616" t="s">
        <v>132</v>
      </c>
      <c r="D1135" s="995" t="s">
        <v>1734</v>
      </c>
      <c r="E1135" s="995"/>
      <c r="F1135" s="995"/>
    </row>
    <row r="1136" spans="1:7" ht="12.75"/>
    <row r="1137" spans="1:7" ht="14.25">
      <c r="A1137" s="271"/>
      <c r="B1137" s="616" t="s">
        <v>132</v>
      </c>
      <c r="D1137" s="975" t="s">
        <v>1735</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1745</v>
      </c>
      <c r="E1140" s="1001"/>
      <c r="F1140" s="1001"/>
      <c r="G1140"/>
    </row>
    <row r="1141" spans="1:7" ht="12.75">
      <c r="D1141" s="192"/>
      <c r="G1141"/>
    </row>
    <row r="1142" spans="1:7" ht="14.45" customHeight="1">
      <c r="A1142" s="271"/>
      <c r="B1142" s="616" t="s">
        <v>132</v>
      </c>
      <c r="D1142" s="969" t="s">
        <v>2323</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1466</v>
      </c>
      <c r="B1157" s="1000"/>
      <c r="C1157" s="1000"/>
      <c r="D1157" s="1000"/>
      <c r="E1157" s="1000"/>
      <c r="F1157" s="1000"/>
      <c r="G1157" s="1000"/>
    </row>
    <row r="1158" spans="1:7" ht="12.75">
      <c r="A1158" s="44"/>
      <c r="B1158" s="44"/>
    </row>
    <row r="1159" spans="1:7" ht="12.75">
      <c r="C1159" s="207"/>
      <c r="D1159" s="1001" t="s">
        <v>1736</v>
      </c>
      <c r="E1159" s="1001"/>
      <c r="F1159" s="1001"/>
    </row>
    <row r="1160" spans="1:7" ht="12.75">
      <c r="A1160" s="190"/>
      <c r="B1160" s="190"/>
      <c r="C1160" s="190"/>
      <c r="D1160" s="994" t="s">
        <v>1557</v>
      </c>
      <c r="E1160" s="995"/>
      <c r="F1160" s="995"/>
    </row>
    <row r="1161" spans="1:7" ht="12.75">
      <c r="A1161" s="190"/>
      <c r="B1161" s="190"/>
      <c r="C1161" s="190"/>
      <c r="F1161" s="188"/>
      <c r="G1161"/>
    </row>
    <row r="1162" spans="1:7" ht="13.7" customHeight="1">
      <c r="B1162" s="616" t="s">
        <v>1438</v>
      </c>
      <c r="D1162" s="992" t="s">
        <v>2188</v>
      </c>
      <c r="E1162" s="992"/>
      <c r="F1162" s="992"/>
      <c r="G1162"/>
    </row>
    <row r="1163" spans="1:7" ht="12.75">
      <c r="D1163" s="992"/>
      <c r="E1163" s="992"/>
      <c r="F1163" s="992"/>
      <c r="G1163"/>
    </row>
    <row r="1164" spans="1:7" ht="12.75">
      <c r="D1164" s="15"/>
      <c r="E1164" s="934" t="s">
        <v>2189</v>
      </c>
      <c r="F1164" s="15"/>
      <c r="G1164"/>
    </row>
    <row r="1165" spans="1:7" ht="12.75">
      <c r="D1165" s="15"/>
      <c r="E1165" s="15"/>
      <c r="F1165" s="15"/>
      <c r="G1165"/>
    </row>
    <row r="1166" spans="1:7" ht="12.75">
      <c r="D1166" s="989" t="s">
        <v>2187</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5" t="s">
        <v>1746</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132</v>
      </c>
      <c r="C1175" s="191"/>
      <c r="D1175" s="969" t="s">
        <v>1827</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1438</v>
      </c>
      <c r="D1178" s="995" t="s">
        <v>1737</v>
      </c>
      <c r="E1178" s="995"/>
      <c r="F1178" s="995"/>
      <c r="G1178"/>
    </row>
    <row r="1179" spans="1:7" ht="12.75">
      <c r="G1179"/>
    </row>
    <row r="1180" spans="1:7" ht="14.25">
      <c r="A1180" s="271"/>
      <c r="B1180" s="616" t="s">
        <v>132</v>
      </c>
      <c r="D1180" s="995" t="s">
        <v>1738</v>
      </c>
      <c r="E1180" s="995"/>
      <c r="F1180" s="995"/>
      <c r="G1180"/>
    </row>
    <row r="1181" spans="1:7" ht="12.75">
      <c r="D1181" s="44"/>
      <c r="G1181"/>
    </row>
    <row r="1182" spans="1:7" ht="14.25">
      <c r="A1182" s="271"/>
      <c r="B1182" s="616" t="s">
        <v>1438</v>
      </c>
      <c r="D1182" s="995" t="s">
        <v>1739</v>
      </c>
      <c r="E1182" s="995"/>
      <c r="F1182" s="995"/>
      <c r="G1182"/>
    </row>
    <row r="1183" spans="1:7" ht="12.75">
      <c r="D1183" s="44"/>
      <c r="G1183"/>
    </row>
    <row r="1184" spans="1:7" ht="14.25">
      <c r="A1184" s="271"/>
      <c r="B1184" s="616" t="s">
        <v>132</v>
      </c>
      <c r="D1184" s="975" t="s">
        <v>1740</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132</v>
      </c>
      <c r="C1187" s="290"/>
      <c r="D1187" s="1021" t="s">
        <v>1741</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132</v>
      </c>
      <c r="C1190" s="290"/>
      <c r="D1190" s="1028" t="s">
        <v>1742</v>
      </c>
      <c r="E1190" s="1028"/>
      <c r="F1190" s="1028"/>
      <c r="G1190" s="292"/>
    </row>
    <row r="1191" spans="1:7" s="452" customFormat="1" ht="12.75">
      <c r="A1191" s="290"/>
      <c r="B1191" s="290"/>
      <c r="C1191" s="290"/>
      <c r="D1191" s="291"/>
      <c r="E1191" s="292"/>
      <c r="F1191" s="292"/>
      <c r="G1191" s="292"/>
    </row>
    <row r="1192" spans="1:7" ht="14.25">
      <c r="A1192" s="271"/>
      <c r="B1192" s="616" t="s">
        <v>132</v>
      </c>
      <c r="D1192" s="995" t="s">
        <v>1743</v>
      </c>
      <c r="E1192" s="995"/>
      <c r="F1192" s="995"/>
    </row>
    <row r="1193" spans="1:7" ht="14.25">
      <c r="A1193" s="271"/>
      <c r="B1193" s="271"/>
      <c r="D1193" s="44"/>
    </row>
    <row r="1194" spans="1:7" ht="14.25">
      <c r="A1194" s="271"/>
      <c r="B1194" s="616" t="s">
        <v>132</v>
      </c>
      <c r="D1194" s="975" t="s">
        <v>1744</v>
      </c>
      <c r="E1194" s="975"/>
      <c r="F1194" s="975"/>
    </row>
    <row r="1195" spans="1:7" ht="14.25">
      <c r="A1195" s="271"/>
      <c r="B1195" s="271"/>
      <c r="D1195" s="975"/>
      <c r="E1195" s="975"/>
      <c r="F1195" s="975"/>
    </row>
    <row r="1196" spans="1:7" ht="12.75"/>
    <row r="1197" spans="1:7" ht="12.75">
      <c r="A1197" s="1000" t="s">
        <v>2105</v>
      </c>
      <c r="B1197" s="1000"/>
      <c r="C1197" s="1000"/>
      <c r="D1197" s="1000"/>
      <c r="E1197" s="1000"/>
      <c r="F1197" s="1000"/>
      <c r="G1197" s="1000"/>
    </row>
    <row r="1198" spans="1:7" ht="12.75"/>
    <row r="1199" spans="1:7" ht="12.75">
      <c r="A1199" s="1000" t="s">
        <v>1467</v>
      </c>
      <c r="B1199" s="1000"/>
      <c r="C1199" s="1000"/>
      <c r="D1199" s="1000"/>
      <c r="E1199" s="1000"/>
      <c r="F1199" s="1000"/>
      <c r="G1199" s="1000"/>
    </row>
    <row r="1200" spans="1:7" ht="12.75"/>
    <row r="1201" spans="1:7" ht="12.75">
      <c r="D1201" s="1026" t="s">
        <v>1577</v>
      </c>
      <c r="E1201" s="1026"/>
      <c r="F1201" s="1026"/>
    </row>
    <row r="1202" spans="1:7" ht="12.75">
      <c r="D1202" s="1027" t="s">
        <v>2006</v>
      </c>
      <c r="E1202" s="1027"/>
      <c r="F1202" s="1027"/>
    </row>
    <row r="1203" spans="1:7" ht="12.75">
      <c r="A1203" s="190"/>
      <c r="B1203" s="190"/>
      <c r="C1203" s="190"/>
    </row>
    <row r="1204" spans="1:7" ht="14.25">
      <c r="A1204" s="271"/>
      <c r="B1204" s="271"/>
      <c r="C1204" s="191"/>
      <c r="D1204" s="1026" t="s">
        <v>1578</v>
      </c>
      <c r="E1204" s="1026"/>
      <c r="F1204" s="1026"/>
    </row>
    <row r="1205" spans="1:7" ht="12.75">
      <c r="B1205" s="616" t="s">
        <v>1438</v>
      </c>
      <c r="D1205" s="1028" t="s">
        <v>1579</v>
      </c>
      <c r="E1205" s="1028"/>
      <c r="F1205" s="1028"/>
    </row>
    <row r="1206" spans="1:7" ht="12.75">
      <c r="D1206" s="1027" t="s">
        <v>2007</v>
      </c>
      <c r="E1206" s="1027"/>
      <c r="F1206" s="1027"/>
    </row>
    <row r="1207" spans="1:7" ht="12.75">
      <c r="G1207"/>
    </row>
    <row r="1208" spans="1:7" ht="12.75" customHeight="1">
      <c r="B1208" s="616" t="s">
        <v>132</v>
      </c>
      <c r="D1208" s="1008" t="s">
        <v>1908</v>
      </c>
      <c r="E1208" s="1008"/>
      <c r="F1208" s="1008"/>
      <c r="G1208"/>
    </row>
    <row r="1209" spans="1:7" ht="12.75">
      <c r="D1209" s="1008"/>
      <c r="E1209" s="1008"/>
      <c r="F1209" s="1008"/>
      <c r="G1209"/>
    </row>
    <row r="1210" spans="1:7" ht="12.75">
      <c r="G1210"/>
    </row>
    <row r="1211" spans="1:7" ht="12.75" customHeight="1"/>
    <row r="1212" spans="1:7" ht="12.75">
      <c r="A1212" s="1000" t="s">
        <v>1469</v>
      </c>
      <c r="B1212" s="1000"/>
      <c r="C1212" s="1000"/>
      <c r="D1212" s="1000"/>
      <c r="E1212" s="1000"/>
      <c r="F1212" s="1000"/>
      <c r="G1212" s="1000"/>
    </row>
    <row r="1213" spans="1:7" ht="12.75">
      <c r="A1213" s="44"/>
      <c r="B1213" s="44"/>
    </row>
    <row r="1214" spans="1:7" ht="12.75" customHeight="1">
      <c r="A1214" s="44"/>
      <c r="B1214" s="44"/>
      <c r="D1214" s="1001" t="s">
        <v>1468</v>
      </c>
      <c r="E1214" s="1001"/>
      <c r="F1214" s="1001"/>
    </row>
    <row r="1215" spans="1:7" ht="12.75" customHeight="1">
      <c r="A1215" s="44"/>
      <c r="B1215" s="44"/>
      <c r="D1215" s="995" t="s">
        <v>1475</v>
      </c>
      <c r="E1215" s="995"/>
      <c r="F1215" s="995"/>
    </row>
    <row r="1216" spans="1:7" ht="12.75" customHeight="1">
      <c r="A1216" s="44"/>
      <c r="B1216" s="44"/>
    </row>
    <row r="1217" spans="1:7" ht="14.25">
      <c r="A1217" s="271"/>
      <c r="B1217" s="616" t="s">
        <v>132</v>
      </c>
      <c r="D1217" s="999" t="s">
        <v>1056</v>
      </c>
      <c r="E1217" s="999"/>
      <c r="F1217" s="999"/>
    </row>
    <row r="1218" spans="1:7" ht="12.75">
      <c r="D1218" s="995" t="s">
        <v>1179</v>
      </c>
      <c r="E1218" s="995"/>
      <c r="F1218" s="995"/>
    </row>
    <row r="1219" spans="1:7" ht="12.75">
      <c r="E1219" s="1012" t="s">
        <v>2190</v>
      </c>
      <c r="F1219" s="1012"/>
    </row>
    <row r="1220" spans="1:7" ht="12.75">
      <c r="D1220" s="3"/>
    </row>
    <row r="1221" spans="1:7" ht="12.75">
      <c r="D1221" s="1025" t="s">
        <v>1324</v>
      </c>
      <c r="E1221" s="1025"/>
      <c r="F1221" s="1025"/>
    </row>
    <row r="1222" spans="1:7" ht="12.75">
      <c r="B1222" s="616" t="s">
        <v>132</v>
      </c>
      <c r="D1222" s="969" t="s">
        <v>2191</v>
      </c>
      <c r="E1222" s="975"/>
      <c r="F1222" s="975"/>
      <c r="G1222"/>
    </row>
    <row r="1223" spans="1:7" ht="12.75">
      <c r="D1223" s="975"/>
      <c r="E1223" s="975"/>
      <c r="F1223" s="975"/>
      <c r="G1223"/>
    </row>
    <row r="1224" spans="1:7" ht="12.75">
      <c r="D1224" s="508" t="s">
        <v>1327</v>
      </c>
      <c r="E1224"/>
      <c r="F1224"/>
      <c r="G1224"/>
    </row>
    <row r="1225" spans="1:7" ht="13.7" customHeight="1">
      <c r="D1225" s="969" t="s">
        <v>2192</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1059</v>
      </c>
      <c r="E1229" s="1012"/>
      <c r="F1229" s="1012"/>
      <c r="G1229"/>
    </row>
    <row r="1230" spans="1:7" ht="12.75">
      <c r="B1230" s="616" t="s">
        <v>132</v>
      </c>
      <c r="D1230" s="999" t="s">
        <v>1325</v>
      </c>
      <c r="E1230" s="999"/>
      <c r="F1230" s="999"/>
      <c r="G1230"/>
    </row>
    <row r="1231" spans="1:7" ht="12.75">
      <c r="E1231"/>
      <c r="F1231"/>
      <c r="G1231"/>
    </row>
    <row r="1232" spans="1:7" ht="12.75">
      <c r="D1232" s="1007" t="s">
        <v>1326</v>
      </c>
      <c r="E1232" s="1007"/>
      <c r="F1232" s="1007"/>
      <c r="G1232"/>
    </row>
    <row r="1233" spans="1:7" ht="12.75">
      <c r="D1233" s="3" t="s">
        <v>1057</v>
      </c>
      <c r="E1233"/>
      <c r="F1233"/>
      <c r="G1233"/>
    </row>
    <row r="1234" spans="1:7" ht="14.45" customHeight="1">
      <c r="A1234" s="271"/>
      <c r="B1234" s="616" t="s">
        <v>132</v>
      </c>
      <c r="D1234" s="975" t="s">
        <v>1580</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5" t="s">
        <v>1581</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1503</v>
      </c>
      <c r="B1245" s="1000"/>
      <c r="C1245" s="1000"/>
      <c r="D1245" s="1000"/>
      <c r="E1245" s="1000"/>
      <c r="F1245" s="1000"/>
      <c r="G1245" s="1000"/>
    </row>
    <row r="1246" spans="1:7" ht="12.75">
      <c r="A1246" s="44"/>
      <c r="B1246" s="44"/>
    </row>
    <row r="1247" spans="1:7" ht="12.75">
      <c r="A1247" s="44"/>
      <c r="B1247" s="44"/>
      <c r="D1247" s="1009" t="s">
        <v>1504</v>
      </c>
      <c r="E1247" s="1009"/>
      <c r="F1247" s="1009"/>
    </row>
    <row r="1248" spans="1:7" ht="12.75">
      <c r="A1248" s="268"/>
      <c r="B1248" s="268"/>
      <c r="C1248" s="268"/>
      <c r="D1248" s="999" t="s">
        <v>1517</v>
      </c>
      <c r="E1248" s="999"/>
      <c r="F1248" s="999"/>
      <c r="G1248" s="269"/>
    </row>
    <row r="1249" spans="1:7" ht="10.5" customHeight="1"/>
    <row r="1250" spans="1:7" ht="14.25">
      <c r="A1250" s="271"/>
      <c r="B1250" s="616" t="s">
        <v>132</v>
      </c>
      <c r="D1250" s="999" t="s">
        <v>1180</v>
      </c>
      <c r="E1250" s="999"/>
      <c r="F1250" s="999"/>
    </row>
    <row r="1251" spans="1:7" ht="12.75">
      <c r="E1251" s="1012" t="s">
        <v>2193</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72" zoomScale="124" zoomScaleNormal="124" workbookViewId="0">
      <selection activeCell="I186" sqref="I18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828</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1" t="s">
        <v>2340</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2.95" customHeight="1">
      <c r="A11" s="1402" t="s">
        <v>2357</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65" t="s">
        <v>1959</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278" t="s">
        <v>2385</v>
      </c>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row>
    <row r="16" spans="1:45" ht="12.95" customHeight="1"/>
    <row r="17" spans="1:40" ht="12.95" customHeight="1">
      <c r="A17" s="63" t="s">
        <v>829</v>
      </c>
      <c r="C17" s="5"/>
      <c r="D17" s="5"/>
      <c r="E17" s="5"/>
      <c r="F17" s="5"/>
      <c r="G17" s="5"/>
      <c r="H17" s="1135" t="s">
        <v>2386</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2.95" customHeight="1"/>
    <row r="19" spans="1:40" ht="12.95"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4" t="s">
        <v>1403</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9">
        <f>ROUND('Basis &amp; Credits'!AB55,0)</f>
        <v>2500000</v>
      </c>
      <c r="N25" s="1379"/>
      <c r="O25" s="1379"/>
      <c r="P25" s="1379"/>
      <c r="Q25" s="1379"/>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9">
        <f>'Basis &amp; Credits'!AB76</f>
        <v>1999826</v>
      </c>
      <c r="N27" s="1379"/>
      <c r="O27" s="1379"/>
      <c r="P27" s="1379"/>
      <c r="Q27" s="1379"/>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09" t="s">
        <v>116</v>
      </c>
      <c r="P33" s="1109"/>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1">
        <v>2</v>
      </c>
      <c r="H128" s="1111"/>
      <c r="I128" s="41" t="s">
        <v>440</v>
      </c>
      <c r="J128" s="41"/>
      <c r="L128" s="1295" t="s">
        <v>2359</v>
      </c>
      <c r="M128" s="1296"/>
      <c r="N128" s="1296"/>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5" t="s">
        <v>2360</v>
      </c>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35" t="s">
        <v>2361</v>
      </c>
      <c r="Z131" s="1110"/>
      <c r="AA131" s="1110"/>
      <c r="AB131" s="1110"/>
      <c r="AC131" s="1110"/>
      <c r="AD131" s="1110"/>
      <c r="AE131" s="1110"/>
      <c r="AF131" s="1110"/>
      <c r="AG131" s="1110"/>
      <c r="AH131" s="1110"/>
      <c r="AI131" s="1110"/>
      <c r="AJ131" s="1110"/>
      <c r="AK131" s="1110"/>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35" t="s">
        <v>2362</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135" t="s">
        <v>2387</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84</v>
      </c>
    </row>
    <row r="157" spans="1:72" ht="12.95" customHeight="1">
      <c r="D157" s="340" t="s">
        <v>573</v>
      </c>
      <c r="O157" s="1134" t="s">
        <v>2388</v>
      </c>
      <c r="P157" s="1280"/>
      <c r="Q157" s="1280"/>
      <c r="R157" s="1280"/>
      <c r="S157" s="1280"/>
      <c r="T157" s="1280"/>
      <c r="U157" s="1280"/>
      <c r="V157" s="1280"/>
      <c r="W157" s="1280"/>
      <c r="X157" s="1280"/>
      <c r="Y157" s="1280"/>
      <c r="Z157" s="1280"/>
      <c r="AA157" s="1280"/>
      <c r="AB157" s="1280"/>
      <c r="AC157" s="1280"/>
      <c r="AD157" s="1280"/>
      <c r="AE157" s="1280"/>
      <c r="AF157" s="1280"/>
      <c r="AG157" s="1280"/>
      <c r="AH157" s="1280"/>
      <c r="AI157" t="s">
        <v>743</v>
      </c>
      <c r="BN157" s="30" t="s">
        <v>450</v>
      </c>
      <c r="BT157" t="s">
        <v>31</v>
      </c>
    </row>
    <row r="158" spans="1:72" ht="12.95" customHeight="1">
      <c r="D158" s="12" t="s">
        <v>574</v>
      </c>
      <c r="F158" s="12"/>
      <c r="G158" s="12"/>
      <c r="H158" s="12"/>
      <c r="I158" s="12"/>
      <c r="J158" s="12"/>
      <c r="K158" s="12"/>
      <c r="L158" s="12"/>
      <c r="M158" s="12"/>
      <c r="N158" s="12"/>
      <c r="O158" s="1292" t="s">
        <v>2389</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2.95" customHeight="1">
      <c r="D159" t="s">
        <v>681</v>
      </c>
      <c r="O159" s="1135" t="s">
        <v>2390</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5" customHeight="1">
      <c r="D160" t="s">
        <v>682</v>
      </c>
      <c r="O160" s="1135" t="s">
        <v>117</v>
      </c>
      <c r="P160" s="1110"/>
      <c r="Q160" s="1110"/>
      <c r="R160" s="1110"/>
      <c r="S160" s="1110"/>
      <c r="T160" s="1110"/>
      <c r="U160" s="1110"/>
      <c r="V160" s="1110"/>
      <c r="W160" s="1110"/>
      <c r="X160" s="1110"/>
      <c r="Y160" s="12"/>
      <c r="Z160" s="12"/>
      <c r="AA160" s="12"/>
      <c r="AB160" s="12"/>
      <c r="AC160" s="12"/>
      <c r="AD160" s="12"/>
      <c r="AE160" s="12"/>
      <c r="AF160" s="12"/>
      <c r="BN160" s="30" t="s">
        <v>80</v>
      </c>
      <c r="BT160" t="s">
        <v>413</v>
      </c>
    </row>
    <row r="161" spans="1:72" ht="12.95" customHeight="1">
      <c r="D161" t="s">
        <v>683</v>
      </c>
      <c r="O161" s="1299">
        <v>92522</v>
      </c>
      <c r="P161" s="1299"/>
      <c r="Q161" s="1299"/>
      <c r="R161" s="129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128" t="s">
        <v>2391</v>
      </c>
      <c r="P162" s="1285"/>
      <c r="Q162" s="1285"/>
      <c r="R162" s="1285"/>
      <c r="S162" s="1285"/>
      <c r="T162" s="1285"/>
      <c r="V162" s="179" t="s">
        <v>12</v>
      </c>
      <c r="W162" s="1300"/>
      <c r="X162" s="1300"/>
      <c r="Y162" s="14"/>
      <c r="Z162" s="14"/>
      <c r="AA162" s="14"/>
      <c r="AB162" s="14"/>
      <c r="AC162" s="14"/>
      <c r="AD162" s="14"/>
      <c r="AE162" s="14"/>
      <c r="AF162" s="14"/>
      <c r="BJ162" t="s">
        <v>116</v>
      </c>
      <c r="BN162" s="30" t="s">
        <v>82</v>
      </c>
      <c r="BT162" t="s">
        <v>415</v>
      </c>
    </row>
    <row r="163" spans="1:72" ht="12.95" customHeight="1">
      <c r="D163" t="s">
        <v>685</v>
      </c>
      <c r="O163" s="1128" t="s">
        <v>2392</v>
      </c>
      <c r="P163" s="1285"/>
      <c r="Q163" s="1285"/>
      <c r="R163" s="1285"/>
      <c r="S163" s="1285"/>
      <c r="T163" s="1285"/>
      <c r="U163" s="14"/>
      <c r="V163" s="14"/>
      <c r="W163" s="14"/>
      <c r="X163" s="14"/>
      <c r="Y163" s="14"/>
      <c r="Z163" s="14"/>
      <c r="AA163" s="14"/>
      <c r="AB163" s="14"/>
      <c r="AC163" s="14"/>
      <c r="AD163" s="14"/>
      <c r="AE163" s="14"/>
      <c r="AF163" s="14"/>
      <c r="BN163" s="30" t="s">
        <v>504</v>
      </c>
      <c r="BT163" t="s">
        <v>416</v>
      </c>
    </row>
    <row r="164" spans="1:72" ht="12.95" customHeight="1">
      <c r="D164" t="s">
        <v>686</v>
      </c>
      <c r="O164" s="1133"/>
      <c r="P164" s="1133"/>
      <c r="Q164" s="1133"/>
      <c r="R164" s="1133"/>
      <c r="S164" s="1133"/>
      <c r="T164" s="1133"/>
      <c r="U164" s="1133"/>
      <c r="V164" s="1133"/>
      <c r="W164" s="1133"/>
      <c r="X164" s="1133"/>
      <c r="Y164" s="1133"/>
      <c r="Z164" s="1133"/>
      <c r="AA164" s="1133"/>
      <c r="AB164" s="1133"/>
      <c r="AC164" s="1133"/>
      <c r="AD164" s="1133"/>
      <c r="AE164" s="1133"/>
      <c r="AF164" s="1133"/>
      <c r="AG164" s="1133"/>
      <c r="AH164" s="1133"/>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8" t="s">
        <v>2013</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2" t="s">
        <v>403</v>
      </c>
      <c r="B169" s="1282"/>
      <c r="C169" s="1282"/>
      <c r="D169" s="1282"/>
      <c r="E169" s="1282"/>
      <c r="F169" s="1282"/>
      <c r="G169" s="1282"/>
      <c r="H169" s="1282"/>
      <c r="I169" s="1282"/>
      <c r="J169" s="1282"/>
      <c r="K169" s="1282"/>
      <c r="L169" s="1282"/>
      <c r="M169" s="1282"/>
      <c r="N169" s="1282"/>
      <c r="O169" s="1282"/>
      <c r="P169" s="1282"/>
      <c r="Q169" s="1282"/>
      <c r="R169" s="1282"/>
      <c r="S169" s="1282"/>
      <c r="T169" s="1282"/>
      <c r="U169" s="1282"/>
      <c r="V169" s="1282"/>
      <c r="W169" s="1282"/>
      <c r="X169" s="1282"/>
      <c r="Y169" s="1282"/>
      <c r="Z169" s="1282"/>
      <c r="AA169" s="1282"/>
      <c r="AB169" s="1282"/>
      <c r="AC169" s="1282"/>
      <c r="AD169" s="1282"/>
      <c r="AE169" s="1282"/>
      <c r="AF169" s="1282"/>
      <c r="AG169" s="1282"/>
      <c r="AH169" s="1282"/>
      <c r="AI169" s="1282"/>
      <c r="AJ169" s="1282"/>
      <c r="AK169" s="1282"/>
      <c r="AL169" s="1282"/>
      <c r="BN169" s="30" t="s">
        <v>514</v>
      </c>
      <c r="BT169" t="s">
        <v>422</v>
      </c>
    </row>
    <row r="170" spans="1:72" ht="12.95" customHeight="1" thickBot="1">
      <c r="A170" s="1283"/>
      <c r="B170" s="1283"/>
      <c r="C170" s="1283"/>
      <c r="D170" s="1283"/>
      <c r="E170" s="1283"/>
      <c r="F170" s="1283"/>
      <c r="G170" s="1283"/>
      <c r="H170" s="1283"/>
      <c r="I170" s="1283"/>
      <c r="J170" s="1283"/>
      <c r="K170" s="1283"/>
      <c r="L170" s="1283"/>
      <c r="M170" s="1283"/>
      <c r="N170" s="1283"/>
      <c r="O170" s="1283"/>
      <c r="P170" s="1283"/>
      <c r="Q170" s="1283"/>
      <c r="R170" s="1283"/>
      <c r="S170" s="1283"/>
      <c r="T170" s="1283"/>
      <c r="U170" s="1283"/>
      <c r="V170" s="1283"/>
      <c r="W170" s="1283"/>
      <c r="X170" s="1283"/>
      <c r="Y170" s="1283"/>
      <c r="Z170" s="1283"/>
      <c r="AA170" s="1283"/>
      <c r="AB170" s="1283"/>
      <c r="AC170" s="1283"/>
      <c r="AD170" s="1283"/>
      <c r="AE170" s="1283"/>
      <c r="AF170" s="1283"/>
      <c r="AG170" s="1283"/>
      <c r="AH170" s="1283"/>
      <c r="AI170" s="1283"/>
      <c r="AJ170" s="1283"/>
      <c r="AK170" s="1283"/>
      <c r="AL170" s="1283"/>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2.95" customHeight="1">
      <c r="C174" s="31"/>
      <c r="D174" t="s">
        <v>466</v>
      </c>
      <c r="U174" s="1109" t="s">
        <v>116</v>
      </c>
      <c r="V174" s="1109"/>
      <c r="BN174" s="30" t="s">
        <v>628</v>
      </c>
      <c r="BT174" t="s">
        <v>427</v>
      </c>
    </row>
    <row r="175" spans="1:72" ht="12.95" customHeight="1">
      <c r="C175" s="12"/>
      <c r="D175" s="33"/>
      <c r="E175" t="s">
        <v>244</v>
      </c>
      <c r="O175" s="34"/>
      <c r="P175" t="s">
        <v>2221</v>
      </c>
      <c r="T175" s="34" t="s">
        <v>245</v>
      </c>
      <c r="U175" s="1087">
        <v>22</v>
      </c>
      <c r="V175" s="1087"/>
      <c r="W175" s="1" t="s">
        <v>246</v>
      </c>
      <c r="X175" s="1297">
        <v>69</v>
      </c>
      <c r="Y175" s="1297"/>
      <c r="BN175" s="30" t="s">
        <v>629</v>
      </c>
      <c r="BT175" t="s">
        <v>428</v>
      </c>
    </row>
    <row r="176" spans="1:72" ht="12.95" customHeight="1">
      <c r="C176" s="31"/>
      <c r="D176" t="s">
        <v>293</v>
      </c>
      <c r="U176" s="1109" t="s">
        <v>510</v>
      </c>
      <c r="V176" s="1109"/>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7" t="s">
        <v>245</v>
      </c>
      <c r="J178" s="1392"/>
      <c r="K178" s="1392"/>
      <c r="L178" s="374" t="s">
        <v>246</v>
      </c>
      <c r="M178" s="1112"/>
      <c r="N178" s="1112"/>
      <c r="O178" s="365"/>
      <c r="P178" s="365"/>
      <c r="Q178" s="365"/>
      <c r="R178" s="365"/>
      <c r="U178" s="365" t="s">
        <v>1284</v>
      </c>
      <c r="V178" s="365"/>
      <c r="W178" s="365"/>
      <c r="X178" s="365"/>
      <c r="Y178" s="365"/>
      <c r="Z178" s="365"/>
      <c r="AA178" s="365"/>
      <c r="AB178" s="365"/>
      <c r="AD178" s="1393"/>
      <c r="AE178" s="1393"/>
      <c r="AF178" s="1393"/>
      <c r="AG178" s="1393"/>
      <c r="AH178" s="1393"/>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109" t="s">
        <v>510</v>
      </c>
      <c r="Z180" s="1288"/>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291" t="str">
        <f>H17</f>
        <v>Mulberry Gardens Senior Apartments</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128</v>
      </c>
      <c r="BN184" s="30" t="s">
        <v>603</v>
      </c>
      <c r="BT184" t="s">
        <v>437</v>
      </c>
    </row>
    <row r="185" spans="1:72" ht="12.95" customHeight="1">
      <c r="C185" s="29"/>
      <c r="D185" t="s">
        <v>457</v>
      </c>
      <c r="I185" s="1134" t="s">
        <v>2542</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604</v>
      </c>
      <c r="BT185" t="s">
        <v>878</v>
      </c>
    </row>
    <row r="186" spans="1:72" ht="12.95" customHeight="1">
      <c r="C186" s="29"/>
      <c r="E186" t="s">
        <v>66</v>
      </c>
      <c r="BN186" s="30" t="s">
        <v>605</v>
      </c>
      <c r="BT186" t="s">
        <v>879</v>
      </c>
    </row>
    <row r="187" spans="1:72" ht="12.95" customHeight="1">
      <c r="C187" s="29"/>
      <c r="E187" s="1394"/>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606</v>
      </c>
      <c r="BT187" t="s">
        <v>880</v>
      </c>
    </row>
    <row r="188" spans="1:72" ht="12.95"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608</v>
      </c>
      <c r="BT188" t="s">
        <v>881</v>
      </c>
    </row>
    <row r="189" spans="1:72" ht="12.95" customHeight="1">
      <c r="C189" s="29"/>
      <c r="D189" t="s">
        <v>458</v>
      </c>
      <c r="I189" s="1135" t="s">
        <v>117</v>
      </c>
      <c r="J189" s="1084"/>
      <c r="K189" s="1084"/>
      <c r="L189" s="1084"/>
      <c r="M189" s="1084"/>
      <c r="N189" s="1084"/>
      <c r="O189" s="1084"/>
      <c r="P189" s="1084"/>
      <c r="Q189" t="s">
        <v>460</v>
      </c>
      <c r="T189" s="1084" t="s">
        <v>117</v>
      </c>
      <c r="U189" s="1084"/>
      <c r="V189" s="1084"/>
      <c r="W189" s="1084"/>
      <c r="X189" s="1084"/>
      <c r="Y189" s="1084"/>
      <c r="Z189" s="1084"/>
      <c r="AA189" s="1084"/>
      <c r="AB189" s="1084"/>
      <c r="AC189" s="1084"/>
      <c r="AD189" s="1084"/>
      <c r="AE189" s="1084"/>
      <c r="BC189" t="s">
        <v>84</v>
      </c>
      <c r="BH189" s="41" t="s">
        <v>132</v>
      </c>
      <c r="BN189" s="30" t="s">
        <v>609</v>
      </c>
      <c r="BT189" t="s">
        <v>117</v>
      </c>
    </row>
    <row r="190" spans="1:72" ht="12.95" customHeight="1">
      <c r="C190" s="29"/>
      <c r="D190" t="s">
        <v>461</v>
      </c>
      <c r="I190" s="1085">
        <v>92501</v>
      </c>
      <c r="J190" s="1085"/>
      <c r="K190" s="1085"/>
      <c r="L190" s="1085"/>
      <c r="M190" s="1085"/>
      <c r="N190" s="1085"/>
      <c r="O190" t="s">
        <v>463</v>
      </c>
      <c r="T190" s="1286">
        <v>301.02999999999997</v>
      </c>
      <c r="U190" s="1286"/>
      <c r="V190" s="1286"/>
      <c r="W190" s="1286"/>
      <c r="X190" s="1286"/>
      <c r="Y190" s="1286"/>
      <c r="Z190" s="1286"/>
      <c r="AA190" s="1286"/>
      <c r="AB190" s="1286"/>
      <c r="AC190" s="1286"/>
      <c r="AD190" s="1286"/>
      <c r="AE190" s="1286"/>
      <c r="BC190" t="s">
        <v>697</v>
      </c>
      <c r="BH190" t="s">
        <v>697</v>
      </c>
      <c r="BN190" s="30" t="s">
        <v>449</v>
      </c>
      <c r="BT190" t="s">
        <v>118</v>
      </c>
    </row>
    <row r="191" spans="1:72" ht="12.95" customHeight="1">
      <c r="C191" s="29"/>
      <c r="D191" t="s">
        <v>89</v>
      </c>
      <c r="N191" s="1406" t="s">
        <v>2393</v>
      </c>
      <c r="O191" s="1394"/>
      <c r="P191" s="1394"/>
      <c r="Q191" s="1394"/>
      <c r="R191" s="1394"/>
      <c r="S191" s="1394"/>
      <c r="T191" s="1394"/>
      <c r="U191" s="1394"/>
      <c r="V191" s="1394"/>
      <c r="W191" s="1394"/>
      <c r="X191" s="1394"/>
      <c r="Y191" s="1394"/>
      <c r="Z191" s="1394"/>
      <c r="AA191" s="1394"/>
      <c r="AB191" s="1394"/>
      <c r="AC191" s="1394"/>
      <c r="AD191" s="1394"/>
      <c r="AE191" s="1394"/>
      <c r="BC191" t="s">
        <v>1486</v>
      </c>
      <c r="BH191" t="s">
        <v>1486</v>
      </c>
      <c r="BN191" s="30" t="s">
        <v>611</v>
      </c>
      <c r="BT191" t="s">
        <v>119</v>
      </c>
    </row>
    <row r="192" spans="1:72" ht="12.95"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698</v>
      </c>
      <c r="BH192" s="5" t="s">
        <v>1493</v>
      </c>
      <c r="BN192" s="30" t="s">
        <v>612</v>
      </c>
      <c r="BT192" t="s">
        <v>120</v>
      </c>
    </row>
    <row r="193" spans="1:73" ht="12.95" customHeight="1">
      <c r="C193" s="29"/>
      <c r="D193" t="s">
        <v>464</v>
      </c>
      <c r="T193" s="1109" t="s">
        <v>510</v>
      </c>
      <c r="U193" s="1109"/>
      <c r="W193" s="41" t="s">
        <v>1976</v>
      </c>
      <c r="AA193" s="1277"/>
      <c r="AB193" s="1277"/>
      <c r="AC193" s="1277"/>
      <c r="BC193" t="s">
        <v>593</v>
      </c>
      <c r="BH193" s="5" t="s">
        <v>1494</v>
      </c>
      <c r="BN193" s="30" t="s">
        <v>613</v>
      </c>
      <c r="BT193" t="s">
        <v>121</v>
      </c>
    </row>
    <row r="194" spans="1:73" ht="12.95" customHeight="1">
      <c r="C194" s="29"/>
      <c r="D194" t="s">
        <v>126</v>
      </c>
      <c r="T194" s="1099" t="s">
        <v>116</v>
      </c>
      <c r="U194" s="1099"/>
      <c r="W194" t="s">
        <v>67</v>
      </c>
      <c r="AI194" s="1109" t="s">
        <v>510</v>
      </c>
      <c r="AJ194" s="1109"/>
      <c r="AX194" s="5" t="s">
        <v>132</v>
      </c>
      <c r="BC194" t="s">
        <v>649</v>
      </c>
      <c r="BN194" s="30" t="s">
        <v>788</v>
      </c>
      <c r="BT194" t="s">
        <v>122</v>
      </c>
    </row>
    <row r="195" spans="1:73" ht="12.95" customHeight="1">
      <c r="C195" s="29"/>
      <c r="D195" s="41" t="s">
        <v>1805</v>
      </c>
      <c r="T195" s="1099" t="s">
        <v>116</v>
      </c>
      <c r="U195" s="1099"/>
      <c r="X195" s="804" t="s">
        <v>2223</v>
      </c>
      <c r="AX195" s="5" t="s">
        <v>1196</v>
      </c>
      <c r="BN195" s="30" t="s">
        <v>789</v>
      </c>
      <c r="BT195" t="s">
        <v>123</v>
      </c>
    </row>
    <row r="196" spans="1:73" ht="12.95" customHeight="1">
      <c r="C196" s="29"/>
      <c r="D196" s="5" t="s">
        <v>1201</v>
      </c>
      <c r="T196" s="1099" t="s">
        <v>510</v>
      </c>
      <c r="U196" s="1099"/>
      <c r="AK196" s="1276"/>
      <c r="AL196" s="1276"/>
      <c r="AX196" s="41" t="s">
        <v>2316</v>
      </c>
      <c r="BN196" s="30" t="s">
        <v>790</v>
      </c>
      <c r="BT196" t="s">
        <v>124</v>
      </c>
    </row>
    <row r="197" spans="1:73" ht="12.95" customHeight="1">
      <c r="C197" s="29"/>
      <c r="D197" s="41" t="s">
        <v>1977</v>
      </c>
      <c r="T197" s="1109" t="s">
        <v>510</v>
      </c>
      <c r="U197" s="1109"/>
      <c r="AX197" s="5" t="s">
        <v>1197</v>
      </c>
      <c r="BC197" t="s">
        <v>84</v>
      </c>
      <c r="BN197" s="30" t="s">
        <v>791</v>
      </c>
      <c r="BT197" t="s">
        <v>125</v>
      </c>
    </row>
    <row r="198" spans="1:73" ht="12.95" customHeight="1">
      <c r="C198" s="29"/>
      <c r="D198" s="41" t="s">
        <v>2005</v>
      </c>
      <c r="W198" s="1289" t="s">
        <v>510</v>
      </c>
      <c r="X198" s="1109"/>
      <c r="AX198" s="5" t="s">
        <v>1198</v>
      </c>
      <c r="BC198" t="s">
        <v>1148</v>
      </c>
      <c r="BN198" s="30" t="s">
        <v>792</v>
      </c>
      <c r="BT198" t="s">
        <v>842</v>
      </c>
    </row>
    <row r="199" spans="1:73" ht="12.95" customHeight="1">
      <c r="C199" s="29"/>
      <c r="L199" s="310"/>
      <c r="M199" s="310"/>
      <c r="N199" s="310"/>
      <c r="O199" s="310"/>
      <c r="P199" s="310"/>
      <c r="Q199" s="929" t="s">
        <v>2224</v>
      </c>
      <c r="R199" s="1135" t="s">
        <v>2117</v>
      </c>
      <c r="S199" s="1135"/>
      <c r="T199" s="1135"/>
      <c r="U199" s="1135"/>
      <c r="V199" s="1135"/>
      <c r="W199" s="1135"/>
      <c r="X199" s="1135"/>
      <c r="Y199" s="1135"/>
      <c r="Z199" s="1135"/>
      <c r="AA199" s="1135"/>
      <c r="AB199" s="1135"/>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291" t="str">
        <f>IF(AND(M25&gt;0,M27&gt;0),"Federal and State","Federal Only")</f>
        <v>Federal and State</v>
      </c>
      <c r="E203" s="1291"/>
      <c r="F203" s="1291"/>
      <c r="G203" s="1291"/>
      <c r="H203" s="1291"/>
      <c r="I203" s="1291"/>
      <c r="J203" s="1291"/>
      <c r="K203" s="1291"/>
      <c r="L203" s="1291"/>
      <c r="M203" s="1291"/>
      <c r="P203" s="1400">
        <f>M25</f>
        <v>2500000</v>
      </c>
      <c r="Q203" s="1400"/>
      <c r="R203" s="1400"/>
      <c r="S203" s="1400"/>
      <c r="T203" s="1400"/>
      <c r="U203" s="1400"/>
      <c r="W203" s="1400">
        <f>M27</f>
        <v>1999826</v>
      </c>
      <c r="X203" s="1400"/>
      <c r="Y203" s="1400"/>
      <c r="Z203" s="1400"/>
      <c r="AA203" s="1400"/>
      <c r="AB203" s="1400"/>
      <c r="AV203" t="s">
        <v>132</v>
      </c>
      <c r="AX203" s="5" t="s">
        <v>698</v>
      </c>
      <c r="BC203" t="s">
        <v>1499</v>
      </c>
      <c r="BN203" s="30" t="s">
        <v>695</v>
      </c>
      <c r="BT203" s="40" t="s">
        <v>847</v>
      </c>
      <c r="BU203" s="21"/>
    </row>
    <row r="204" spans="1:73" ht="12.95" customHeight="1">
      <c r="C204" s="29"/>
      <c r="P204" s="1381" t="s">
        <v>186</v>
      </c>
      <c r="Q204" s="1381"/>
      <c r="R204" s="1381"/>
      <c r="S204" s="1381"/>
      <c r="T204" s="1381"/>
      <c r="U204" s="1381"/>
      <c r="V204" s="36"/>
      <c r="W204" s="1381" t="s">
        <v>187</v>
      </c>
      <c r="X204" s="1381"/>
      <c r="Y204" s="1381"/>
      <c r="Z204" s="1381"/>
      <c r="AA204" s="1381"/>
      <c r="AB204" s="1381"/>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110" t="s">
        <v>2363</v>
      </c>
      <c r="E208" s="1110"/>
      <c r="F208" s="1110"/>
      <c r="G208" s="1110"/>
      <c r="H208" s="1110"/>
      <c r="I208" s="1110"/>
      <c r="J208" s="1110"/>
      <c r="K208" s="1110"/>
      <c r="L208" s="1110"/>
      <c r="M208" s="1110"/>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110" t="s">
        <v>1196</v>
      </c>
      <c r="E211" s="1110"/>
      <c r="F211" s="1110"/>
      <c r="G211" s="1110"/>
      <c r="H211" s="1110"/>
      <c r="I211" s="1110"/>
      <c r="J211" s="1110"/>
      <c r="K211" s="1110"/>
      <c r="L211" s="1110"/>
      <c r="M211" s="1110"/>
      <c r="N211" s="1110"/>
      <c r="O211" s="1110"/>
      <c r="P211" s="1110"/>
      <c r="X211" s="810"/>
      <c r="Y211" s="1287" t="s">
        <v>510</v>
      </c>
      <c r="Z211" s="1287"/>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110" t="s">
        <v>1486</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664</v>
      </c>
      <c r="BN214" s="30" t="s">
        <v>471</v>
      </c>
      <c r="BT214" s="40" t="s">
        <v>856</v>
      </c>
    </row>
    <row r="215" spans="1:72" ht="12.95" customHeight="1">
      <c r="D215" s="35"/>
      <c r="E215" s="41" t="s">
        <v>2200</v>
      </c>
      <c r="AC215" s="1281"/>
      <c r="AD215" s="1281"/>
      <c r="AF215" s="1396">
        <f>IFERROR(AC215/AG433,"")</f>
        <v>0</v>
      </c>
      <c r="AG215" s="1396"/>
      <c r="BC215" t="s">
        <v>661</v>
      </c>
    </row>
    <row r="216" spans="1:72" ht="12.95" customHeight="1">
      <c r="D216" s="35"/>
      <c r="E216" s="945" t="s">
        <v>1497</v>
      </c>
      <c r="BC216" t="s">
        <v>778</v>
      </c>
    </row>
    <row r="217" spans="1:72" ht="12.95"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2.95" customHeight="1">
      <c r="E218" s="41" t="s">
        <v>2053</v>
      </c>
      <c r="AA218" s="49"/>
      <c r="AC218" s="1290">
        <v>55</v>
      </c>
      <c r="AD218" s="1290"/>
      <c r="AE218" s="1290"/>
      <c r="AF218" s="1290"/>
      <c r="AG218" s="1290"/>
      <c r="AH218" s="1290"/>
      <c r="AI218" s="1290"/>
      <c r="AJ218" s="1290"/>
      <c r="AK218" s="1290"/>
      <c r="AL218" s="1290"/>
      <c r="AM218" s="1290"/>
      <c r="BC218" t="s">
        <v>663</v>
      </c>
      <c r="BI218" s="39"/>
    </row>
    <row r="219" spans="1:72" ht="12.95" customHeight="1">
      <c r="E219" s="41" t="s">
        <v>2054</v>
      </c>
      <c r="AA219" s="49"/>
      <c r="AC219" s="1290"/>
      <c r="AD219" s="1290"/>
      <c r="AE219" s="1290"/>
      <c r="AF219" s="1290"/>
      <c r="AG219" s="1290"/>
      <c r="AH219" s="1290"/>
      <c r="AI219" s="1290"/>
      <c r="AJ219" s="1290"/>
      <c r="AK219" s="1290"/>
      <c r="AL219" s="1290"/>
      <c r="AM219" s="1290"/>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35" t="s">
        <v>1501</v>
      </c>
      <c r="E223" s="1135"/>
      <c r="F223" s="1135"/>
      <c r="G223" s="1135"/>
      <c r="H223" s="1135"/>
      <c r="I223" s="1135"/>
      <c r="J223" s="1135"/>
      <c r="K223" s="1135"/>
      <c r="L223" s="1135"/>
      <c r="M223" s="1135"/>
      <c r="N223" s="1135"/>
      <c r="O223" s="1135"/>
      <c r="P223" s="1135"/>
      <c r="Q223" s="1135"/>
      <c r="R223" s="1135"/>
      <c r="S223" s="1135"/>
      <c r="T223" s="1135"/>
      <c r="U223" s="1135"/>
      <c r="V223" s="1135"/>
      <c r="W223" s="1135"/>
      <c r="X223" s="1135"/>
      <c r="Y223" s="1135"/>
      <c r="Z223" s="1135"/>
      <c r="AA223" s="1135"/>
      <c r="AB223" s="1135"/>
      <c r="AC223" s="1135"/>
      <c r="AD223" s="1135"/>
      <c r="AE223" s="1135"/>
      <c r="AF223" s="1135"/>
      <c r="AG223" s="1135"/>
      <c r="AH223" s="1135"/>
      <c r="AI223" s="1135"/>
      <c r="AJ223" s="21"/>
      <c r="AK223" s="21"/>
      <c r="AL223" s="21"/>
    </row>
    <row r="224" spans="1:72" ht="12.95" customHeight="1">
      <c r="AJ224" s="5"/>
    </row>
    <row r="225" spans="1:59" ht="12.95" customHeight="1">
      <c r="D225" t="s">
        <v>586</v>
      </c>
      <c r="O225" s="1109">
        <v>61</v>
      </c>
      <c r="P225" s="1109"/>
    </row>
    <row r="226" spans="1:59" ht="12.95" customHeight="1">
      <c r="D226" t="s">
        <v>587</v>
      </c>
      <c r="O226" s="1109">
        <v>41</v>
      </c>
      <c r="P226" s="1109"/>
      <c r="BB226" s="5" t="s">
        <v>672</v>
      </c>
      <c r="BG226" s="414">
        <f>IF(AND(AND($M$251="for profit",$M$259="for profit",$M$267="nonprofit")),2,0)</f>
        <v>0</v>
      </c>
    </row>
    <row r="227" spans="1:59" ht="12.95" customHeight="1">
      <c r="D227" t="s">
        <v>588</v>
      </c>
      <c r="O227" s="1109">
        <v>31</v>
      </c>
      <c r="P227" s="1109"/>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282" t="s">
        <v>523</v>
      </c>
      <c r="B231" s="1282"/>
      <c r="C231" s="1282"/>
      <c r="D231" s="1282"/>
      <c r="E231" s="1282"/>
      <c r="F231" s="1282"/>
      <c r="G231" s="1282"/>
      <c r="H231" s="1282"/>
      <c r="I231" s="1282"/>
      <c r="J231" s="1282"/>
      <c r="K231" s="1282"/>
      <c r="L231" s="1282"/>
      <c r="M231" s="1282"/>
      <c r="N231" s="1282"/>
      <c r="O231" s="1282"/>
      <c r="P231" s="1282"/>
      <c r="Q231" s="1282"/>
      <c r="R231" s="1282"/>
      <c r="S231" s="1282"/>
      <c r="T231" s="1282"/>
      <c r="U231" s="1282"/>
      <c r="V231" s="1282"/>
      <c r="W231" s="1282"/>
      <c r="X231" s="1282"/>
      <c r="Y231" s="1282"/>
      <c r="Z231" s="1282"/>
      <c r="AA231" s="1282"/>
      <c r="AB231" s="1282"/>
      <c r="AC231" s="1282"/>
      <c r="AD231" s="1282"/>
      <c r="AE231" s="1282"/>
      <c r="AF231" s="1282"/>
      <c r="AG231" s="1282"/>
      <c r="AH231" s="1282"/>
      <c r="AI231" s="1282"/>
      <c r="AJ231" s="1282"/>
      <c r="AK231" s="1282"/>
      <c r="AL231" s="1282"/>
    </row>
    <row r="232" spans="1:59" ht="12.95" customHeight="1" thickBot="1">
      <c r="A232" s="1283"/>
      <c r="B232" s="1283"/>
      <c r="C232" s="1283"/>
      <c r="D232" s="1283"/>
      <c r="E232" s="1283"/>
      <c r="F232" s="1283"/>
      <c r="G232" s="1283"/>
      <c r="H232" s="1283"/>
      <c r="I232" s="1283"/>
      <c r="J232" s="1283"/>
      <c r="K232" s="1283"/>
      <c r="L232" s="1283"/>
      <c r="M232" s="1283"/>
      <c r="N232" s="1283"/>
      <c r="O232" s="1283"/>
      <c r="P232" s="1283"/>
      <c r="Q232" s="1283"/>
      <c r="R232" s="1283"/>
      <c r="S232" s="1283"/>
      <c r="T232" s="1283"/>
      <c r="U232" s="1283"/>
      <c r="V232" s="1283"/>
      <c r="W232" s="1283"/>
      <c r="X232" s="1283"/>
      <c r="Y232" s="1283"/>
      <c r="Z232" s="1283"/>
      <c r="AA232" s="1283"/>
      <c r="AB232" s="1283"/>
      <c r="AC232" s="1283"/>
      <c r="AD232" s="1283"/>
      <c r="AE232" s="1283"/>
      <c r="AF232" s="1283"/>
      <c r="AG232" s="1283"/>
      <c r="AH232" s="1283"/>
      <c r="AI232" s="1283"/>
      <c r="AJ232" s="1283"/>
      <c r="AK232" s="1283"/>
      <c r="AL232" s="1283"/>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380" t="str">
        <f>H15</f>
        <v>Mulberry Gardens Senior, L.P.</v>
      </c>
      <c r="N235" s="1380"/>
      <c r="O235" s="1380"/>
      <c r="P235" s="1380"/>
      <c r="Q235" s="1380"/>
      <c r="R235" s="1380"/>
      <c r="S235" s="1380"/>
      <c r="T235" s="1380"/>
      <c r="U235" s="1380"/>
      <c r="V235" s="1380"/>
      <c r="W235" s="1380"/>
      <c r="X235" s="1380"/>
      <c r="Y235" s="1380"/>
      <c r="Z235" s="1380"/>
      <c r="AA235" s="1380"/>
      <c r="AB235" s="1380"/>
      <c r="AC235" s="1380"/>
      <c r="AD235" s="1380"/>
      <c r="AE235" s="1380"/>
      <c r="AF235" s="1380"/>
      <c r="AG235" s="1380"/>
      <c r="AH235" s="1380"/>
      <c r="AI235" s="1380"/>
      <c r="AJ235" s="1380"/>
      <c r="AK235" s="1380"/>
      <c r="BB235" s="3"/>
      <c r="BG235" s="5"/>
    </row>
    <row r="236" spans="1:59" ht="12.95" customHeight="1">
      <c r="D236" s="5" t="s">
        <v>396</v>
      </c>
      <c r="E236" s="5"/>
      <c r="F236" s="5"/>
      <c r="G236" s="5"/>
      <c r="H236" s="5"/>
      <c r="I236" s="5"/>
      <c r="J236" s="5"/>
      <c r="K236" s="5"/>
      <c r="M236" s="1110" t="s">
        <v>2366</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671</v>
      </c>
      <c r="BG236" s="414">
        <f>IF(AND(AND($M$251="nonprofit",$M$259="nonprofit",$M$267="nonprofit")),1,0)</f>
        <v>0</v>
      </c>
    </row>
    <row r="237" spans="1:59" ht="12.95" customHeight="1">
      <c r="D237" s="5" t="s">
        <v>458</v>
      </c>
      <c r="E237" s="5"/>
      <c r="M237" s="1110" t="s">
        <v>2360</v>
      </c>
      <c r="N237" s="1110"/>
      <c r="O237" s="1110"/>
      <c r="P237" s="1110"/>
      <c r="Q237" s="1110"/>
      <c r="R237" s="1110"/>
      <c r="S237" s="1110"/>
      <c r="T237" s="1110"/>
      <c r="V237" s="42" t="s">
        <v>397</v>
      </c>
      <c r="W237" s="1134" t="s">
        <v>2367</v>
      </c>
      <c r="X237" s="1280"/>
      <c r="Y237" s="5" t="s">
        <v>461</v>
      </c>
      <c r="AC237" s="1110">
        <v>94541</v>
      </c>
      <c r="AD237" s="1110"/>
      <c r="AE237" s="1110"/>
      <c r="AN237" s="41"/>
      <c r="BB237" t="s">
        <v>671</v>
      </c>
      <c r="BG237" s="414">
        <f>IF(AND(AND($M$251="nonprofit",$M$259="nonprofit",$M$267="(select one)")),1,0)</f>
        <v>0</v>
      </c>
    </row>
    <row r="238" spans="1:59" ht="12.95" customHeight="1">
      <c r="D238" s="5" t="s">
        <v>398</v>
      </c>
      <c r="E238" s="5"/>
      <c r="F238" s="5"/>
      <c r="G238" s="5"/>
      <c r="H238" s="5"/>
      <c r="I238" s="5"/>
      <c r="J238" s="5"/>
      <c r="K238" s="28"/>
      <c r="M238" s="1110" t="s">
        <v>2361</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671</v>
      </c>
      <c r="BG238" s="414">
        <f>IF(AND(AND($M$251="nonprofit",$M$259="(select one)",$M$267="(select one)")),1,0)</f>
        <v>1</v>
      </c>
    </row>
    <row r="239" spans="1:59" ht="12.95" customHeight="1">
      <c r="D239" s="5" t="s">
        <v>399</v>
      </c>
      <c r="E239" s="5"/>
      <c r="F239" s="5"/>
      <c r="M239" s="1108" t="s">
        <v>2368</v>
      </c>
      <c r="N239" s="1108"/>
      <c r="O239" s="1108"/>
      <c r="P239" s="1108"/>
      <c r="Q239" s="1108"/>
      <c r="R239" s="1108"/>
      <c r="S239" s="5" t="s">
        <v>857</v>
      </c>
      <c r="T239" s="5"/>
      <c r="U239" s="1280"/>
      <c r="V239" s="1280"/>
      <c r="W239" s="1280"/>
      <c r="X239" s="5" t="s">
        <v>400</v>
      </c>
      <c r="Z239" s="1108"/>
      <c r="AA239" s="1108"/>
      <c r="AB239" s="1108"/>
      <c r="AC239" s="1108"/>
      <c r="AD239" s="1108"/>
      <c r="AE239" s="1108"/>
      <c r="AM239" s="41"/>
      <c r="AN239" s="41"/>
      <c r="BB239" t="s">
        <v>1052</v>
      </c>
      <c r="BG239" s="414">
        <f>IF(AND(AND($M$251="for profit",$M$259="for profit",$M$267="for profit")),3,0)</f>
        <v>0</v>
      </c>
    </row>
    <row r="240" spans="1:59" ht="12.95" customHeight="1">
      <c r="D240" s="5" t="s">
        <v>401</v>
      </c>
      <c r="E240" s="5"/>
      <c r="F240" s="5"/>
      <c r="M240" s="1133" t="s">
        <v>2369</v>
      </c>
      <c r="N240" s="1133"/>
      <c r="O240" s="1133"/>
      <c r="P240" s="1133"/>
      <c r="Q240" s="1133"/>
      <c r="R240" s="1133"/>
      <c r="S240" s="1133"/>
      <c r="T240" s="1133"/>
      <c r="U240" s="1133"/>
      <c r="V240" s="1133"/>
      <c r="W240" s="1133"/>
      <c r="X240" s="1133"/>
      <c r="Y240" s="1133"/>
      <c r="Z240" s="1133"/>
      <c r="AA240" s="1133"/>
      <c r="AB240" s="1133"/>
      <c r="AC240" s="1133"/>
      <c r="AD240" s="1133"/>
      <c r="AE240" s="1133"/>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085" t="s">
        <v>662</v>
      </c>
      <c r="N241" s="1085"/>
      <c r="O241" s="1085"/>
      <c r="P241" s="1085"/>
      <c r="Q241" s="1085"/>
      <c r="R241" s="1085"/>
      <c r="S241" s="1085"/>
      <c r="T241" s="1085"/>
      <c r="U241" s="5" t="s">
        <v>1190</v>
      </c>
      <c r="AA241" s="1128" t="s">
        <v>2365</v>
      </c>
      <c r="AB241" s="1107"/>
      <c r="AC241" s="1107"/>
      <c r="AD241" s="1107"/>
      <c r="AE241" s="1107"/>
      <c r="AF241" s="1107"/>
      <c r="AG241" s="1107"/>
      <c r="AH241" s="1107"/>
      <c r="AI241" s="1107"/>
      <c r="AJ241" s="1107"/>
      <c r="AK241" s="1107"/>
      <c r="AL241" s="41"/>
      <c r="AM241" s="5"/>
      <c r="AN241" s="41"/>
      <c r="AO241" s="41"/>
      <c r="BB241" t="s">
        <v>1052</v>
      </c>
      <c r="BG241" s="415">
        <f>IF(AND(AND($M$251="for profit",$M$259="(select one)",$M$267="(select one)")),3,0)</f>
        <v>0</v>
      </c>
    </row>
    <row r="242" spans="1:67" ht="12.95" customHeight="1">
      <c r="D242" t="s">
        <v>665</v>
      </c>
      <c r="M242" s="1135"/>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278" t="s">
        <v>2394</v>
      </c>
      <c r="N245" s="1278"/>
      <c r="O245" s="1278"/>
      <c r="P245" s="1278"/>
      <c r="Q245" s="1278"/>
      <c r="R245" s="1278"/>
      <c r="S245" s="1278"/>
      <c r="T245" s="1278"/>
      <c r="U245" s="1278"/>
      <c r="V245" s="1278"/>
      <c r="W245" s="1278"/>
      <c r="X245" s="1278"/>
      <c r="Y245" s="1278"/>
      <c r="Z245" s="1278"/>
      <c r="AA245" s="1278"/>
      <c r="AB245" s="1278"/>
      <c r="AC245" s="1278"/>
      <c r="AD245" s="1278"/>
      <c r="AE245" s="1278"/>
      <c r="AF245" s="1279" t="s">
        <v>2364</v>
      </c>
      <c r="AG245" s="1279"/>
      <c r="AH245" s="1279"/>
      <c r="AI245" s="1279"/>
      <c r="AJ245" s="1279"/>
      <c r="AK245" s="1279"/>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110" t="str">
        <f>M236</f>
        <v>22645 Grand Street</v>
      </c>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482</v>
      </c>
      <c r="BH246">
        <v>3</v>
      </c>
      <c r="BI246" t="s">
        <v>670</v>
      </c>
    </row>
    <row r="247" spans="1:67" ht="12.95" customHeight="1">
      <c r="A247" s="28"/>
      <c r="B247" s="5"/>
      <c r="C247" s="5"/>
      <c r="D247" s="5" t="s">
        <v>458</v>
      </c>
      <c r="E247" s="5"/>
      <c r="M247" s="1110" t="str">
        <f>M237</f>
        <v>Hayward</v>
      </c>
      <c r="N247" s="1110"/>
      <c r="O247" s="1110"/>
      <c r="P247" s="1110"/>
      <c r="Q247" s="1110"/>
      <c r="R247" s="1110"/>
      <c r="S247" s="1110"/>
      <c r="T247" s="1110"/>
      <c r="V247" s="42" t="s">
        <v>397</v>
      </c>
      <c r="W247" s="1280" t="str">
        <f>W237</f>
        <v>CA</v>
      </c>
      <c r="X247" s="1280"/>
      <c r="Y247" s="5" t="s">
        <v>461</v>
      </c>
      <c r="AC247" s="1110">
        <f>AC237</f>
        <v>94541</v>
      </c>
      <c r="AD247" s="1110"/>
      <c r="AE247" s="1110"/>
      <c r="AN247" s="41"/>
    </row>
    <row r="248" spans="1:67" ht="12.95" customHeight="1">
      <c r="A248" s="28"/>
      <c r="B248" s="5"/>
      <c r="C248" s="5"/>
      <c r="D248" s="5" t="s">
        <v>398</v>
      </c>
      <c r="E248" s="5"/>
      <c r="F248" s="5"/>
      <c r="G248" s="5"/>
      <c r="H248" s="5"/>
      <c r="I248" s="5"/>
      <c r="J248" s="5"/>
      <c r="K248" s="5"/>
      <c r="L248" s="28"/>
      <c r="M248" s="1110" t="str">
        <f>M238</f>
        <v>Andrea Osgood</v>
      </c>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2.95" customHeight="1">
      <c r="A249" s="28"/>
      <c r="B249" s="5"/>
      <c r="C249" s="5"/>
      <c r="D249" s="5" t="s">
        <v>399</v>
      </c>
      <c r="E249" s="5"/>
      <c r="F249" s="5"/>
      <c r="M249" s="1108" t="str">
        <f>M239</f>
        <v>510-247-8103</v>
      </c>
      <c r="N249" s="1108"/>
      <c r="O249" s="1108"/>
      <c r="P249" s="1108"/>
      <c r="Q249" s="1108"/>
      <c r="R249" s="1108"/>
      <c r="S249" s="5" t="s">
        <v>857</v>
      </c>
      <c r="T249" s="5"/>
      <c r="U249" s="1280"/>
      <c r="V249" s="1280"/>
      <c r="W249" s="1280"/>
      <c r="X249" s="5" t="s">
        <v>400</v>
      </c>
      <c r="Z249" s="1108"/>
      <c r="AA249" s="1108"/>
      <c r="AB249" s="1108"/>
      <c r="AC249" s="1108"/>
      <c r="AD249" s="1108"/>
      <c r="AE249" s="1108"/>
      <c r="AM249" s="5"/>
      <c r="AN249" s="41"/>
    </row>
    <row r="250" spans="1:67" ht="12.95" customHeight="1">
      <c r="A250" s="28"/>
      <c r="B250" s="5"/>
      <c r="C250" s="5"/>
      <c r="D250" s="5" t="s">
        <v>401</v>
      </c>
      <c r="E250" s="5"/>
      <c r="F250" s="5"/>
      <c r="M250" s="1133" t="str">
        <f>M240</f>
        <v>aosgood@edenhousing.org</v>
      </c>
      <c r="N250" s="1133"/>
      <c r="O250" s="1133"/>
      <c r="P250" s="1133"/>
      <c r="Q250" s="1133"/>
      <c r="R250" s="1133"/>
      <c r="S250" s="1133"/>
      <c r="T250" s="1133"/>
      <c r="U250" s="1133"/>
      <c r="V250" s="1133"/>
      <c r="W250" s="1133"/>
      <c r="X250" s="1133"/>
      <c r="Y250" s="1133"/>
      <c r="Z250" s="1133"/>
      <c r="AA250" s="1133"/>
      <c r="AB250" s="1133"/>
      <c r="AC250" s="1133"/>
      <c r="AD250" s="1133"/>
      <c r="AE250" s="1133"/>
      <c r="AG250" s="5"/>
      <c r="AH250" s="5"/>
      <c r="AI250" s="5"/>
      <c r="AJ250" s="5"/>
      <c r="AK250" s="5"/>
      <c r="AL250" s="5"/>
    </row>
    <row r="251" spans="1:67" ht="12.95" customHeight="1">
      <c r="A251" s="18"/>
      <c r="B251" s="5"/>
      <c r="C251" s="62"/>
      <c r="D251" s="5" t="s">
        <v>669</v>
      </c>
      <c r="E251" s="5"/>
      <c r="F251" s="5"/>
      <c r="G251" s="5"/>
      <c r="H251" s="5"/>
      <c r="I251" s="5"/>
      <c r="J251" s="5"/>
      <c r="K251" s="5"/>
      <c r="L251" s="5"/>
      <c r="M251" s="1085" t="s">
        <v>668</v>
      </c>
      <c r="N251" s="1085"/>
      <c r="O251" s="1085"/>
      <c r="P251" s="1085"/>
      <c r="Q251" s="1085"/>
      <c r="R251" s="1085"/>
      <c r="S251" s="1085"/>
      <c r="T251" s="1085"/>
      <c r="U251" s="5" t="s">
        <v>1190</v>
      </c>
      <c r="AA251" s="1107" t="s">
        <v>2365</v>
      </c>
      <c r="AB251" s="1107"/>
      <c r="AC251" s="1107"/>
      <c r="AD251" s="1107"/>
      <c r="AE251" s="1107"/>
      <c r="AF251" s="1107"/>
      <c r="AG251" s="1107"/>
      <c r="AH251" s="1107"/>
      <c r="AI251" s="1107"/>
      <c r="AJ251" s="1107"/>
      <c r="AK251" s="11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78"/>
      <c r="N253" s="1278"/>
      <c r="O253" s="1278"/>
      <c r="P253" s="1278"/>
      <c r="Q253" s="1278"/>
      <c r="R253" s="1278"/>
      <c r="S253" s="1278"/>
      <c r="T253" s="1278"/>
      <c r="U253" s="1278"/>
      <c r="V253" s="1278"/>
      <c r="W253" s="1278"/>
      <c r="X253" s="1278"/>
      <c r="Y253" s="1278"/>
      <c r="Z253" s="1278"/>
      <c r="AA253" s="1278"/>
      <c r="AB253" s="1278"/>
      <c r="AC253" s="1278"/>
      <c r="AD253" s="1278"/>
      <c r="AE253" s="1278"/>
      <c r="AF253" s="1279" t="s">
        <v>84</v>
      </c>
      <c r="AG253" s="1279"/>
      <c r="AH253" s="1279"/>
      <c r="AI253" s="1279"/>
      <c r="AJ253" s="1279"/>
      <c r="AK253" s="1279"/>
      <c r="AM253" s="5"/>
    </row>
    <row r="254" spans="1:67" ht="12.95" customHeight="1">
      <c r="A254" s="28"/>
      <c r="B254" s="5"/>
      <c r="C254" s="5"/>
      <c r="D254" s="5" t="s">
        <v>396</v>
      </c>
      <c r="E254" s="5"/>
      <c r="F254" s="5"/>
      <c r="G254" s="5"/>
      <c r="H254" s="5"/>
      <c r="I254" s="5"/>
      <c r="J254" s="5"/>
      <c r="K254" s="5"/>
      <c r="L254" s="5"/>
      <c r="M254" s="1110"/>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2.95" customHeight="1">
      <c r="A255" s="28"/>
      <c r="B255" s="5"/>
      <c r="C255" s="5"/>
      <c r="D255" s="5" t="s">
        <v>458</v>
      </c>
      <c r="E255" s="5"/>
      <c r="M255" s="1110"/>
      <c r="N255" s="1110"/>
      <c r="O255" s="1110"/>
      <c r="P255" s="1110"/>
      <c r="Q255" s="1110"/>
      <c r="R255" s="1110"/>
      <c r="S255" s="1110"/>
      <c r="T255" s="1110"/>
      <c r="V255" s="42" t="s">
        <v>397</v>
      </c>
      <c r="W255" s="1280"/>
      <c r="X255" s="1280"/>
      <c r="Y255" s="5" t="s">
        <v>461</v>
      </c>
      <c r="AC255" s="1110"/>
      <c r="AD255" s="1110"/>
      <c r="AE255" s="1110"/>
    </row>
    <row r="256" spans="1:67" ht="12.95" customHeight="1">
      <c r="A256" s="28"/>
      <c r="B256" s="5"/>
      <c r="C256" s="5"/>
      <c r="D256" s="5" t="s">
        <v>398</v>
      </c>
      <c r="E256" s="5"/>
      <c r="F256" s="5"/>
      <c r="G256" s="5"/>
      <c r="H256" s="5"/>
      <c r="I256" s="5"/>
      <c r="J256" s="5"/>
      <c r="K256" s="5"/>
      <c r="L256" s="28"/>
      <c r="M256" s="1110"/>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2.95" customHeight="1">
      <c r="A257" s="28"/>
      <c r="B257" s="5"/>
      <c r="C257" s="5"/>
      <c r="D257" s="5" t="s">
        <v>399</v>
      </c>
      <c r="E257" s="5"/>
      <c r="F257" s="5"/>
      <c r="M257" s="1108"/>
      <c r="N257" s="1108"/>
      <c r="O257" s="1108"/>
      <c r="P257" s="1108"/>
      <c r="Q257" s="1108"/>
      <c r="R257" s="1108"/>
      <c r="S257" s="5" t="s">
        <v>857</v>
      </c>
      <c r="T257" s="5"/>
      <c r="U257" s="1280"/>
      <c r="V257" s="1280"/>
      <c r="W257" s="1280"/>
      <c r="X257" s="5" t="s">
        <v>400</v>
      </c>
      <c r="Z257" s="1108"/>
      <c r="AA257" s="1108"/>
      <c r="AB257" s="1108"/>
      <c r="AC257" s="1108"/>
      <c r="AD257" s="1108"/>
      <c r="AE257" s="1108"/>
      <c r="BA257" s="43"/>
    </row>
    <row r="258" spans="1:53" ht="12.95" customHeight="1">
      <c r="A258" s="28"/>
      <c r="B258" s="5"/>
      <c r="C258" s="5"/>
      <c r="D258" s="5" t="s">
        <v>401</v>
      </c>
      <c r="E258" s="5"/>
      <c r="F258" s="5"/>
      <c r="M258" s="1133"/>
      <c r="N258" s="1133"/>
      <c r="O258" s="1133"/>
      <c r="P258" s="1133"/>
      <c r="Q258" s="1133"/>
      <c r="R258" s="1133"/>
      <c r="S258" s="1133"/>
      <c r="T258" s="1133"/>
      <c r="U258" s="1133"/>
      <c r="V258" s="1133"/>
      <c r="W258" s="1133"/>
      <c r="X258" s="1133"/>
      <c r="Y258" s="1133"/>
      <c r="Z258" s="1133"/>
      <c r="AA258" s="1133"/>
      <c r="AB258" s="1133"/>
      <c r="AC258" s="1133"/>
      <c r="AD258" s="1133"/>
      <c r="AE258" s="1133"/>
      <c r="AG258" s="5"/>
      <c r="AH258" s="5"/>
      <c r="AI258" s="5"/>
      <c r="AJ258" s="5"/>
      <c r="AK258" s="5"/>
      <c r="AL258" s="5"/>
    </row>
    <row r="259" spans="1:53" ht="12.95" customHeight="1">
      <c r="A259" s="18"/>
      <c r="B259" s="5"/>
      <c r="C259" s="62"/>
      <c r="D259" s="5" t="s">
        <v>669</v>
      </c>
      <c r="E259" s="5"/>
      <c r="F259" s="5"/>
      <c r="G259" s="5"/>
      <c r="H259" s="5"/>
      <c r="I259" s="5"/>
      <c r="J259" s="5"/>
      <c r="K259" s="5"/>
      <c r="L259" s="5"/>
      <c r="M259" s="1085" t="s">
        <v>84</v>
      </c>
      <c r="N259" s="1085"/>
      <c r="O259" s="1085"/>
      <c r="P259" s="1085"/>
      <c r="Q259" s="1085"/>
      <c r="R259" s="1085"/>
      <c r="S259" s="1085"/>
      <c r="T259" s="1085"/>
      <c r="U259" s="5" t="s">
        <v>1190</v>
      </c>
      <c r="AA259" s="1107"/>
      <c r="AB259" s="1107"/>
      <c r="AC259" s="1107"/>
      <c r="AD259" s="1107"/>
      <c r="AE259" s="1107"/>
      <c r="AF259" s="1107"/>
      <c r="AG259" s="1107"/>
      <c r="AH259" s="1107"/>
      <c r="AI259" s="1107"/>
      <c r="AJ259" s="1107"/>
      <c r="AK259" s="11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279"/>
      <c r="N261" s="1279"/>
      <c r="O261" s="1279"/>
      <c r="P261" s="1279"/>
      <c r="Q261" s="1279"/>
      <c r="R261" s="1279"/>
      <c r="S261" s="1279"/>
      <c r="T261" s="1279"/>
      <c r="U261" s="1279"/>
      <c r="V261" s="1279"/>
      <c r="W261" s="1279"/>
      <c r="X261" s="1279"/>
      <c r="Y261" s="1279"/>
      <c r="Z261" s="1279"/>
      <c r="AA261" s="1279"/>
      <c r="AB261" s="1279"/>
      <c r="AC261" s="1279"/>
      <c r="AD261" s="1279"/>
      <c r="AE261" s="1279"/>
      <c r="AF261" s="1279" t="s">
        <v>84</v>
      </c>
      <c r="AG261" s="1279"/>
      <c r="AH261" s="1279"/>
      <c r="AI261" s="1279"/>
      <c r="AJ261" s="1279"/>
      <c r="AK261" s="1279"/>
      <c r="AL261" s="41"/>
    </row>
    <row r="262" spans="1:53" ht="12.95" customHeight="1">
      <c r="A262" s="18"/>
      <c r="B262" s="5"/>
      <c r="C262" s="5"/>
      <c r="D262" s="5" t="s">
        <v>396</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2.95" customHeight="1">
      <c r="A263" s="18"/>
      <c r="B263" s="5"/>
      <c r="C263" s="5"/>
      <c r="D263" s="5" t="s">
        <v>458</v>
      </c>
      <c r="E263" s="5"/>
      <c r="M263" s="1110"/>
      <c r="N263" s="1110"/>
      <c r="O263" s="1110"/>
      <c r="P263" s="1110"/>
      <c r="Q263" s="1110"/>
      <c r="R263" s="1110"/>
      <c r="S263" s="1110"/>
      <c r="T263" s="1110"/>
      <c r="V263" s="42" t="s">
        <v>397</v>
      </c>
      <c r="W263" s="1280"/>
      <c r="X263" s="1280"/>
      <c r="Y263" s="5" t="s">
        <v>461</v>
      </c>
      <c r="AC263" s="1110"/>
      <c r="AD263" s="1110"/>
      <c r="AE263" s="1110"/>
      <c r="AL263" s="41"/>
      <c r="BA263" s="43"/>
    </row>
    <row r="264" spans="1:53" ht="12.95" customHeight="1">
      <c r="A264" s="18"/>
      <c r="B264" s="5"/>
      <c r="C264" s="5"/>
      <c r="D264" s="5" t="s">
        <v>398</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2.95" customHeight="1">
      <c r="A265" s="18"/>
      <c r="B265" s="5"/>
      <c r="C265" s="5"/>
      <c r="D265" s="5" t="s">
        <v>399</v>
      </c>
      <c r="E265" s="5"/>
      <c r="F265" s="5"/>
      <c r="M265" s="1108"/>
      <c r="N265" s="1108"/>
      <c r="O265" s="1108"/>
      <c r="P265" s="1108"/>
      <c r="Q265" s="1108"/>
      <c r="R265" s="1108"/>
      <c r="S265" s="5" t="s">
        <v>857</v>
      </c>
      <c r="T265" s="5"/>
      <c r="U265" s="1280"/>
      <c r="V265" s="1280"/>
      <c r="W265" s="1280"/>
      <c r="X265" s="5" t="s">
        <v>400</v>
      </c>
      <c r="Z265" s="1108"/>
      <c r="AA265" s="1108"/>
      <c r="AB265" s="1108"/>
      <c r="AC265" s="1108"/>
      <c r="AD265" s="1108"/>
      <c r="AE265" s="1108"/>
      <c r="AL265" s="41"/>
      <c r="BA265" s="43"/>
    </row>
    <row r="266" spans="1:53" ht="12.95" customHeight="1">
      <c r="A266" s="18"/>
      <c r="B266" s="5"/>
      <c r="C266" s="5"/>
      <c r="D266" s="5" t="s">
        <v>401</v>
      </c>
      <c r="E266" s="5"/>
      <c r="F266" s="5"/>
      <c r="M266" s="1133"/>
      <c r="N266" s="1133"/>
      <c r="O266" s="1133"/>
      <c r="P266" s="1133"/>
      <c r="Q266" s="1133"/>
      <c r="R266" s="1133"/>
      <c r="S266" s="1133"/>
      <c r="T266" s="1133"/>
      <c r="U266" s="1133"/>
      <c r="V266" s="1133"/>
      <c r="W266" s="1133"/>
      <c r="X266" s="1133"/>
      <c r="Y266" s="1133"/>
      <c r="Z266" s="1133"/>
      <c r="AA266" s="1133"/>
      <c r="AB266" s="1133"/>
      <c r="AC266" s="1133"/>
      <c r="AD266" s="1133"/>
      <c r="AE266" s="1133"/>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085" t="s">
        <v>84</v>
      </c>
      <c r="N267" s="1085"/>
      <c r="O267" s="1085"/>
      <c r="P267" s="1085"/>
      <c r="Q267" s="1085"/>
      <c r="R267" s="1085"/>
      <c r="S267" s="1085"/>
      <c r="T267" s="1085"/>
      <c r="U267" s="5" t="s">
        <v>1190</v>
      </c>
      <c r="AA267" s="1107"/>
      <c r="AB267" s="1107"/>
      <c r="AC267" s="1107"/>
      <c r="AD267" s="1107"/>
      <c r="AE267" s="1107"/>
      <c r="AF267" s="1107"/>
      <c r="AG267" s="1107"/>
      <c r="AH267" s="1107"/>
      <c r="AI267" s="1107"/>
      <c r="AJ267" s="1107"/>
      <c r="AK267" s="11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2" t="str">
        <f>BO245</f>
        <v>Nonprofit</v>
      </c>
      <c r="U269" s="1132"/>
      <c r="V269" s="1132"/>
      <c r="W269" s="1132"/>
      <c r="X269" s="1132"/>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0" t="s">
        <v>932</v>
      </c>
      <c r="E272" s="1110"/>
      <c r="F272" s="1110"/>
      <c r="G272" s="1110"/>
      <c r="H272" s="1110"/>
      <c r="J272" t="s">
        <v>931</v>
      </c>
      <c r="X272" s="1301"/>
      <c r="Y272" s="1301"/>
      <c r="Z272" s="1301"/>
      <c r="AA272" s="1301"/>
      <c r="AB272" s="1301"/>
      <c r="AC272" s="130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8" t="s">
        <v>2365</v>
      </c>
      <c r="M276" s="1279"/>
      <c r="N276" s="1279"/>
      <c r="O276" s="1279"/>
      <c r="P276" s="1279"/>
      <c r="Q276" s="1279"/>
      <c r="R276" s="1279"/>
      <c r="S276" s="1279"/>
      <c r="T276" s="1279"/>
      <c r="U276" s="1279"/>
      <c r="V276" s="1279"/>
      <c r="W276" s="1279"/>
      <c r="X276" s="1279"/>
      <c r="Y276" s="1279"/>
      <c r="Z276" s="1279"/>
      <c r="AA276" s="1279"/>
      <c r="AB276" s="1279"/>
      <c r="AC276" s="1279"/>
      <c r="AD276" s="1279"/>
      <c r="AE276" s="1279"/>
      <c r="AF276" s="1279"/>
      <c r="AG276" s="1279"/>
      <c r="AH276" s="1279"/>
      <c r="AI276" s="1279"/>
      <c r="AJ276" s="1279"/>
      <c r="AK276" s="41"/>
      <c r="AL276" s="41"/>
      <c r="BA276" s="43"/>
    </row>
    <row r="277" spans="1:53" ht="12.95" customHeight="1">
      <c r="D277" s="5" t="s">
        <v>396</v>
      </c>
      <c r="E277" s="5"/>
      <c r="F277" s="5"/>
      <c r="G277" s="5"/>
      <c r="H277" s="5"/>
      <c r="I277" s="5"/>
      <c r="J277" s="5"/>
      <c r="K277" s="5"/>
      <c r="L277" s="1110" t="s">
        <v>2366</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2.95" customHeight="1">
      <c r="D278" s="5" t="s">
        <v>458</v>
      </c>
      <c r="E278" s="5"/>
      <c r="L278" s="1110" t="str">
        <f>M247</f>
        <v>Hayward</v>
      </c>
      <c r="M278" s="1110"/>
      <c r="N278" s="1110"/>
      <c r="O278" s="1110"/>
      <c r="P278" s="1110"/>
      <c r="Q278" s="1110"/>
      <c r="R278" s="1110"/>
      <c r="S278" s="1110"/>
      <c r="U278" s="42" t="s">
        <v>397</v>
      </c>
      <c r="V278" s="1280" t="str">
        <f>W247</f>
        <v>CA</v>
      </c>
      <c r="W278" s="1280"/>
      <c r="X278" s="5" t="s">
        <v>461</v>
      </c>
      <c r="AB278" s="1110">
        <f>AC247</f>
        <v>94541</v>
      </c>
      <c r="AC278" s="1110"/>
      <c r="AD278" s="1110"/>
      <c r="AK278" s="41"/>
      <c r="AL278" s="41"/>
      <c r="BA278" s="43"/>
    </row>
    <row r="279" spans="1:53" ht="12.95" customHeight="1">
      <c r="D279" s="5" t="s">
        <v>398</v>
      </c>
      <c r="E279" s="5"/>
      <c r="F279" s="5"/>
      <c r="G279" s="5"/>
      <c r="H279" s="5"/>
      <c r="I279" s="5"/>
      <c r="J279" s="5"/>
      <c r="K279" s="28"/>
      <c r="L279" s="1135" t="s">
        <v>2395</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2.95" customHeight="1">
      <c r="D280" s="5" t="s">
        <v>399</v>
      </c>
      <c r="E280" s="5"/>
      <c r="F280" s="5"/>
      <c r="L280" s="1284" t="s">
        <v>2398</v>
      </c>
      <c r="M280" s="1108"/>
      <c r="N280" s="1108"/>
      <c r="O280" s="1108"/>
      <c r="P280" s="1108"/>
      <c r="Q280" s="1108"/>
      <c r="R280" s="5" t="s">
        <v>857</v>
      </c>
      <c r="S280" s="5"/>
      <c r="T280" s="1280"/>
      <c r="U280" s="1280"/>
      <c r="V280" s="1280"/>
      <c r="W280" s="5" t="s">
        <v>400</v>
      </c>
      <c r="Y280" s="1108"/>
      <c r="Z280" s="1108"/>
      <c r="AA280" s="1108"/>
      <c r="AB280" s="1108"/>
      <c r="AC280" s="1108"/>
      <c r="AD280" s="1108"/>
      <c r="BA280" s="43"/>
    </row>
    <row r="281" spans="1:53" ht="12.95" customHeight="1">
      <c r="D281" s="5" t="s">
        <v>401</v>
      </c>
      <c r="E281" s="5"/>
      <c r="F281" s="5"/>
      <c r="L281" s="1133" t="s">
        <v>2396</v>
      </c>
      <c r="M281" s="1133"/>
      <c r="N281" s="1133"/>
      <c r="O281" s="1133"/>
      <c r="P281" s="1133"/>
      <c r="Q281" s="1133"/>
      <c r="R281" s="1133"/>
      <c r="S281" s="1133"/>
      <c r="T281" s="1133"/>
      <c r="U281" s="1133"/>
      <c r="V281" s="1133"/>
      <c r="W281" s="1133"/>
      <c r="X281" s="1133"/>
      <c r="Y281" s="1133"/>
      <c r="Z281" s="1133"/>
      <c r="AA281" s="1133"/>
      <c r="AB281" s="1133"/>
      <c r="AC281" s="1133"/>
      <c r="AD281" s="1133"/>
      <c r="AF281" s="5"/>
      <c r="AG281" s="5"/>
      <c r="AH281" s="5"/>
      <c r="AI281" s="5"/>
      <c r="AJ281" s="5"/>
      <c r="BA281" s="43"/>
    </row>
    <row r="282" spans="1:53" ht="12.95" customHeight="1">
      <c r="D282" s="41" t="s">
        <v>197</v>
      </c>
      <c r="E282" s="41"/>
      <c r="F282" s="41"/>
      <c r="G282" s="41"/>
      <c r="H282" s="41"/>
      <c r="I282" s="41"/>
      <c r="L282" s="1134" t="s">
        <v>2397</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2.95" customHeight="1">
      <c r="L283" s="4" t="s">
        <v>198</v>
      </c>
      <c r="BA283" s="43"/>
    </row>
    <row r="284" spans="1:53" ht="12.95" customHeight="1">
      <c r="A284" s="1282" t="s">
        <v>524</v>
      </c>
      <c r="B284" s="1282"/>
      <c r="C284" s="1282"/>
      <c r="D284" s="1282"/>
      <c r="E284" s="1282"/>
      <c r="F284" s="1282"/>
      <c r="G284" s="1282"/>
      <c r="H284" s="1282"/>
      <c r="I284" s="1282"/>
      <c r="J284" s="1282"/>
      <c r="K284" s="1282"/>
      <c r="L284" s="1282"/>
      <c r="M284" s="1282"/>
      <c r="N284" s="1282"/>
      <c r="O284" s="1282"/>
      <c r="P284" s="1282"/>
      <c r="Q284" s="1282"/>
      <c r="R284" s="1282"/>
      <c r="S284" s="1282"/>
      <c r="T284" s="1282"/>
      <c r="U284" s="1282"/>
      <c r="V284" s="1282"/>
      <c r="W284" s="1282"/>
      <c r="X284" s="1282"/>
      <c r="Y284" s="1282"/>
      <c r="Z284" s="1282"/>
      <c r="AA284" s="1282"/>
      <c r="AB284" s="1282"/>
      <c r="AC284" s="1282"/>
      <c r="AD284" s="1282"/>
      <c r="AE284" s="1282"/>
      <c r="AF284" s="1282"/>
      <c r="AG284" s="1282"/>
      <c r="AH284" s="1282"/>
      <c r="AI284" s="1282"/>
      <c r="AJ284" s="1282"/>
      <c r="AK284" s="1282"/>
      <c r="AL284" s="1282"/>
      <c r="BA284" s="43"/>
    </row>
    <row r="285" spans="1:53" ht="12.95" customHeight="1" thickBot="1">
      <c r="A285" s="1283"/>
      <c r="B285" s="1283"/>
      <c r="C285" s="1283"/>
      <c r="D285" s="1283"/>
      <c r="E285" s="1283"/>
      <c r="F285" s="1283"/>
      <c r="G285" s="1283"/>
      <c r="H285" s="1283"/>
      <c r="I285" s="1283"/>
      <c r="J285" s="1283"/>
      <c r="K285" s="1283"/>
      <c r="L285" s="1283"/>
      <c r="M285" s="1283"/>
      <c r="N285" s="1283"/>
      <c r="O285" s="1283"/>
      <c r="P285" s="1283"/>
      <c r="Q285" s="1283"/>
      <c r="R285" s="1283"/>
      <c r="S285" s="1283"/>
      <c r="T285" s="1283"/>
      <c r="U285" s="1283"/>
      <c r="V285" s="1283"/>
      <c r="W285" s="1283"/>
      <c r="X285" s="1283"/>
      <c r="Y285" s="1283"/>
      <c r="Z285" s="1283"/>
      <c r="AA285" s="1283"/>
      <c r="AB285" s="1283"/>
      <c r="AC285" s="1283"/>
      <c r="AD285" s="1283"/>
      <c r="AE285" s="1283"/>
      <c r="AF285" s="1283"/>
      <c r="AG285" s="1283"/>
      <c r="AH285" s="1283"/>
      <c r="AI285" s="1283"/>
      <c r="AJ285" s="1283"/>
      <c r="AK285" s="1283"/>
      <c r="AL285" s="128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4" t="s">
        <v>2365</v>
      </c>
      <c r="I289" s="1084"/>
      <c r="J289" s="1084"/>
      <c r="K289" s="1084"/>
      <c r="L289" s="1084"/>
      <c r="M289" s="1084"/>
      <c r="N289" s="1084"/>
      <c r="O289" s="1084"/>
      <c r="P289" s="1084"/>
      <c r="Q289" s="1084"/>
      <c r="R289" s="1084"/>
      <c r="T289" s="41" t="s">
        <v>779</v>
      </c>
      <c r="V289" s="41"/>
      <c r="W289" s="41"/>
      <c r="X289" s="41"/>
      <c r="Y289" s="41"/>
      <c r="AA289" s="1084" t="s">
        <v>2468</v>
      </c>
      <c r="AB289" s="1084"/>
      <c r="AC289" s="1084"/>
      <c r="AD289" s="1084"/>
      <c r="AE289" s="1084"/>
      <c r="AF289" s="1084"/>
      <c r="AG289" s="1084"/>
      <c r="AH289" s="1084"/>
      <c r="AI289" s="1084"/>
      <c r="AJ289" s="1084"/>
      <c r="AK289" s="1084"/>
      <c r="BA289" s="43"/>
    </row>
    <row r="290" spans="2:53" ht="12.95" customHeight="1">
      <c r="B290" s="41" t="s">
        <v>733</v>
      </c>
      <c r="C290" s="41"/>
      <c r="D290" s="41"/>
      <c r="E290" s="41"/>
      <c r="F290" s="41"/>
      <c r="H290" s="1085" t="s">
        <v>2366</v>
      </c>
      <c r="I290" s="1085"/>
      <c r="J290" s="1085"/>
      <c r="K290" s="1085"/>
      <c r="L290" s="1085"/>
      <c r="M290" s="1085"/>
      <c r="N290" s="1085"/>
      <c r="O290" s="1085"/>
      <c r="P290" s="1085"/>
      <c r="Q290" s="1085"/>
      <c r="R290" s="1085"/>
      <c r="T290" s="41" t="s">
        <v>733</v>
      </c>
      <c r="V290" s="41"/>
      <c r="W290" s="41"/>
      <c r="X290" s="41"/>
      <c r="Y290" s="41"/>
      <c r="AA290" s="1085" t="s">
        <v>2469</v>
      </c>
      <c r="AB290" s="1085"/>
      <c r="AC290" s="1085"/>
      <c r="AD290" s="1085"/>
      <c r="AE290" s="1085"/>
      <c r="AF290" s="1085"/>
      <c r="AG290" s="1085"/>
      <c r="AH290" s="1085"/>
      <c r="AI290" s="1085"/>
      <c r="AJ290" s="1085"/>
      <c r="AK290" s="1085"/>
      <c r="BA290" s="43"/>
    </row>
    <row r="291" spans="2:53" ht="12.95" customHeight="1">
      <c r="B291" s="41" t="s">
        <v>735</v>
      </c>
      <c r="C291" s="41"/>
      <c r="D291" s="41"/>
      <c r="E291" s="41"/>
      <c r="F291" s="41"/>
      <c r="H291" s="1085" t="s">
        <v>2372</v>
      </c>
      <c r="I291" s="1085"/>
      <c r="J291" s="1085"/>
      <c r="K291" s="1085"/>
      <c r="L291" s="1085"/>
      <c r="M291" s="1085"/>
      <c r="N291" s="1085"/>
      <c r="O291" s="1085"/>
      <c r="P291" s="1085"/>
      <c r="Q291" s="1085"/>
      <c r="R291" s="1085"/>
      <c r="T291" s="41" t="s">
        <v>734</v>
      </c>
      <c r="V291" s="41"/>
      <c r="W291" s="41"/>
      <c r="X291" s="41"/>
      <c r="Y291" s="41"/>
      <c r="AA291" s="1085" t="s">
        <v>2470</v>
      </c>
      <c r="AB291" s="1085"/>
      <c r="AC291" s="1085"/>
      <c r="AD291" s="1085"/>
      <c r="AE291" s="1085"/>
      <c r="AF291" s="1085"/>
      <c r="AG291" s="1085"/>
      <c r="AH291" s="1085"/>
      <c r="AI291" s="1085"/>
      <c r="AJ291" s="1085"/>
      <c r="AK291" s="1085"/>
      <c r="BA291" s="43"/>
    </row>
    <row r="292" spans="2:53" ht="12.95" customHeight="1">
      <c r="B292" s="41" t="s">
        <v>398</v>
      </c>
      <c r="C292" s="41"/>
      <c r="D292" s="41"/>
      <c r="E292" s="41"/>
      <c r="F292" s="41"/>
      <c r="H292" s="1085" t="s">
        <v>2370</v>
      </c>
      <c r="I292" s="1085"/>
      <c r="J292" s="1085"/>
      <c r="K292" s="1085"/>
      <c r="L292" s="1085"/>
      <c r="M292" s="1085"/>
      <c r="N292" s="1085"/>
      <c r="O292" s="1085"/>
      <c r="P292" s="1085"/>
      <c r="Q292" s="1085"/>
      <c r="R292" s="1085"/>
      <c r="T292" s="41" t="s">
        <v>398</v>
      </c>
      <c r="V292" s="41"/>
      <c r="W292" s="41"/>
      <c r="X292" s="41"/>
      <c r="Y292" s="41"/>
      <c r="AA292" s="1085" t="s">
        <v>2471</v>
      </c>
      <c r="AB292" s="1085"/>
      <c r="AC292" s="1085"/>
      <c r="AD292" s="1085"/>
      <c r="AE292" s="1085"/>
      <c r="AF292" s="1085"/>
      <c r="AG292" s="1085"/>
      <c r="AH292" s="1085"/>
      <c r="AI292" s="1085"/>
      <c r="AJ292" s="1085"/>
      <c r="AK292" s="1085"/>
      <c r="BA292" s="43"/>
    </row>
    <row r="293" spans="2:53" ht="12.95" customHeight="1">
      <c r="B293" s="41" t="s">
        <v>399</v>
      </c>
      <c r="C293" s="41"/>
      <c r="D293" s="41"/>
      <c r="E293" s="41"/>
      <c r="F293" s="41"/>
      <c r="G293" s="41"/>
      <c r="H293" s="1107" t="s">
        <v>2371</v>
      </c>
      <c r="I293" s="1107"/>
      <c r="J293" s="1107"/>
      <c r="K293" s="1107"/>
      <c r="L293" s="1107"/>
      <c r="M293" s="1107"/>
      <c r="N293" s="5" t="s">
        <v>857</v>
      </c>
      <c r="O293" s="5"/>
      <c r="P293" s="1110">
        <v>8239</v>
      </c>
      <c r="Q293" s="1110"/>
      <c r="R293" s="1110"/>
      <c r="S293" s="41"/>
      <c r="T293" s="41" t="s">
        <v>399</v>
      </c>
      <c r="V293" s="41"/>
      <c r="W293" s="41"/>
      <c r="X293" s="41"/>
      <c r="Y293" s="41"/>
      <c r="AA293" s="1107" t="s">
        <v>2473</v>
      </c>
      <c r="AB293" s="1107"/>
      <c r="AC293" s="1107"/>
      <c r="AD293" s="1107"/>
      <c r="AE293" s="1107"/>
      <c r="AF293" s="1107"/>
      <c r="AG293" s="5" t="s">
        <v>857</v>
      </c>
      <c r="AH293" s="5"/>
      <c r="AI293" s="1110"/>
      <c r="AJ293" s="1110"/>
      <c r="AK293" s="1110"/>
      <c r="BA293" s="43"/>
    </row>
    <row r="294" spans="2:53" ht="12.95" customHeight="1">
      <c r="B294" s="41" t="s">
        <v>400</v>
      </c>
      <c r="C294" s="41"/>
      <c r="D294" s="41"/>
      <c r="E294" s="41"/>
      <c r="F294" s="41"/>
      <c r="G294" s="41"/>
      <c r="H294" s="1108"/>
      <c r="I294" s="1108"/>
      <c r="J294" s="1108"/>
      <c r="K294" s="1108"/>
      <c r="L294" s="1108"/>
      <c r="M294" s="1108"/>
      <c r="N294" s="5"/>
      <c r="O294" s="5"/>
      <c r="P294" s="44"/>
      <c r="Q294" s="44"/>
      <c r="R294" s="44"/>
      <c r="S294" s="41"/>
      <c r="T294" s="41" t="s">
        <v>400</v>
      </c>
      <c r="V294" s="41"/>
      <c r="W294" s="41"/>
      <c r="X294" s="41"/>
      <c r="Y294" s="41"/>
      <c r="AA294" s="1108"/>
      <c r="AB294" s="1108"/>
      <c r="AC294" s="1108"/>
      <c r="AD294" s="1108"/>
      <c r="AE294" s="1108"/>
      <c r="AF294" s="1108"/>
      <c r="AG294" s="5"/>
      <c r="AH294" s="5"/>
      <c r="AI294" s="44"/>
      <c r="AJ294" s="44"/>
      <c r="AK294" s="44"/>
      <c r="BA294" s="43"/>
    </row>
    <row r="295" spans="2:53" ht="12.95" customHeight="1">
      <c r="B295" s="41" t="s">
        <v>736</v>
      </c>
      <c r="C295" s="41"/>
      <c r="D295" s="41"/>
      <c r="E295" s="41"/>
      <c r="F295" s="41"/>
      <c r="G295" s="41"/>
      <c r="H295" s="1085" t="s">
        <v>2373</v>
      </c>
      <c r="I295" s="1085"/>
      <c r="J295" s="1085"/>
      <c r="K295" s="1085"/>
      <c r="L295" s="1085"/>
      <c r="M295" s="1085"/>
      <c r="N295" s="1084"/>
      <c r="O295" s="1084"/>
      <c r="P295" s="1084"/>
      <c r="Q295" s="1084"/>
      <c r="R295" s="1084"/>
      <c r="S295" s="41"/>
      <c r="T295" s="41" t="s">
        <v>736</v>
      </c>
      <c r="V295" s="41"/>
      <c r="W295" s="41"/>
      <c r="X295" s="41"/>
      <c r="Y295" s="41"/>
      <c r="AA295" s="1085" t="s">
        <v>2472</v>
      </c>
      <c r="AB295" s="1085"/>
      <c r="AC295" s="1085"/>
      <c r="AD295" s="1085"/>
      <c r="AE295" s="1085"/>
      <c r="AF295" s="1085"/>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4" t="s">
        <v>2374</v>
      </c>
      <c r="I297" s="1084"/>
      <c r="J297" s="1084"/>
      <c r="K297" s="1084"/>
      <c r="L297" s="1084"/>
      <c r="M297" s="1084"/>
      <c r="N297" s="1084"/>
      <c r="O297" s="1084"/>
      <c r="P297" s="1084"/>
      <c r="Q297" s="1084"/>
      <c r="R297" s="1084"/>
      <c r="T297" s="41" t="s">
        <v>39</v>
      </c>
      <c r="V297" s="41"/>
      <c r="W297" s="41"/>
      <c r="X297" s="41"/>
      <c r="Y297" s="41"/>
      <c r="AA297" s="1135" t="s">
        <v>2474</v>
      </c>
      <c r="AB297" s="1084"/>
      <c r="AC297" s="1084"/>
      <c r="AD297" s="1084"/>
      <c r="AE297" s="1084"/>
      <c r="AF297" s="1084"/>
      <c r="AG297" s="1084"/>
      <c r="AH297" s="1084"/>
      <c r="AI297" s="1084"/>
      <c r="AJ297" s="1084"/>
      <c r="AK297" s="1084"/>
      <c r="BA297" s="43"/>
    </row>
    <row r="298" spans="2:53" ht="12.95" customHeight="1">
      <c r="B298" s="41" t="s">
        <v>733</v>
      </c>
      <c r="C298" s="41"/>
      <c r="D298" s="41"/>
      <c r="E298" s="41"/>
      <c r="F298" s="41"/>
      <c r="H298" s="1085" t="s">
        <v>2375</v>
      </c>
      <c r="I298" s="1085"/>
      <c r="J298" s="1085"/>
      <c r="K298" s="1085"/>
      <c r="L298" s="1085"/>
      <c r="M298" s="1085"/>
      <c r="N298" s="1085"/>
      <c r="O298" s="1085"/>
      <c r="P298" s="1085"/>
      <c r="Q298" s="1085"/>
      <c r="R298" s="1085"/>
      <c r="T298" s="41" t="s">
        <v>733</v>
      </c>
      <c r="V298" s="41"/>
      <c r="W298" s="41"/>
      <c r="X298" s="41"/>
      <c r="Y298" s="41"/>
      <c r="AA298" s="1085"/>
      <c r="AB298" s="1085"/>
      <c r="AC298" s="1085"/>
      <c r="AD298" s="1085"/>
      <c r="AE298" s="1085"/>
      <c r="AF298" s="1085"/>
      <c r="AG298" s="1085"/>
      <c r="AH298" s="1085"/>
      <c r="AI298" s="1085"/>
      <c r="AJ298" s="1085"/>
      <c r="AK298" s="1085"/>
      <c r="BA298" s="43"/>
    </row>
    <row r="299" spans="2:53" ht="12.95" customHeight="1">
      <c r="B299" s="41" t="s">
        <v>735</v>
      </c>
      <c r="C299" s="41"/>
      <c r="D299" s="41"/>
      <c r="E299" s="41"/>
      <c r="F299" s="41"/>
      <c r="H299" s="1085" t="s">
        <v>2376</v>
      </c>
      <c r="I299" s="1085"/>
      <c r="J299" s="1085"/>
      <c r="K299" s="1085"/>
      <c r="L299" s="1085"/>
      <c r="M299" s="1085"/>
      <c r="N299" s="1085"/>
      <c r="O299" s="1085"/>
      <c r="P299" s="1085"/>
      <c r="Q299" s="1085"/>
      <c r="R299" s="1085"/>
      <c r="T299" s="41" t="s">
        <v>734</v>
      </c>
      <c r="V299" s="41"/>
      <c r="W299" s="41"/>
      <c r="X299" s="41"/>
      <c r="Y299" s="41"/>
      <c r="AA299" s="1085"/>
      <c r="AB299" s="1085"/>
      <c r="AC299" s="1085"/>
      <c r="AD299" s="1085"/>
      <c r="AE299" s="1085"/>
      <c r="AF299" s="1085"/>
      <c r="AG299" s="1085"/>
      <c r="AH299" s="1085"/>
      <c r="AI299" s="1085"/>
      <c r="AJ299" s="1085"/>
      <c r="AK299" s="1085"/>
      <c r="BA299" s="43"/>
    </row>
    <row r="300" spans="2:53" ht="12.95" customHeight="1">
      <c r="B300" s="41" t="s">
        <v>398</v>
      </c>
      <c r="C300" s="41"/>
      <c r="D300" s="41"/>
      <c r="E300" s="41"/>
      <c r="F300" s="41"/>
      <c r="H300" s="1085" t="s">
        <v>2377</v>
      </c>
      <c r="I300" s="1085"/>
      <c r="J300" s="1085"/>
      <c r="K300" s="1085"/>
      <c r="L300" s="1085"/>
      <c r="M300" s="1085"/>
      <c r="N300" s="1085"/>
      <c r="O300" s="1085"/>
      <c r="P300" s="1085"/>
      <c r="Q300" s="1085"/>
      <c r="R300" s="1085"/>
      <c r="T300" s="41" t="s">
        <v>398</v>
      </c>
      <c r="V300" s="41"/>
      <c r="W300" s="41"/>
      <c r="X300" s="41"/>
      <c r="Y300" s="41"/>
      <c r="AA300" s="1085"/>
      <c r="AB300" s="1085"/>
      <c r="AC300" s="1085"/>
      <c r="AD300" s="1085"/>
      <c r="AE300" s="1085"/>
      <c r="AF300" s="1085"/>
      <c r="AG300" s="1085"/>
      <c r="AH300" s="1085"/>
      <c r="AI300" s="1085"/>
      <c r="AJ300" s="1085"/>
      <c r="AK300" s="1085"/>
      <c r="BA300" s="43"/>
    </row>
    <row r="301" spans="2:53" ht="12.95" customHeight="1">
      <c r="B301" s="41" t="s">
        <v>399</v>
      </c>
      <c r="C301" s="41"/>
      <c r="D301" s="41"/>
      <c r="E301" s="41"/>
      <c r="F301" s="41"/>
      <c r="G301" s="41"/>
      <c r="H301" s="1107" t="s">
        <v>2378</v>
      </c>
      <c r="I301" s="1107"/>
      <c r="J301" s="1107"/>
      <c r="K301" s="1107"/>
      <c r="L301" s="1107"/>
      <c r="M301" s="1107"/>
      <c r="N301" s="5" t="s">
        <v>857</v>
      </c>
      <c r="O301" s="5"/>
      <c r="P301" s="1110">
        <v>6</v>
      </c>
      <c r="Q301" s="1110"/>
      <c r="R301" s="1110"/>
      <c r="S301" s="41"/>
      <c r="T301" s="41" t="s">
        <v>399</v>
      </c>
      <c r="V301" s="41"/>
      <c r="W301" s="41"/>
      <c r="X301" s="41"/>
      <c r="Y301" s="41"/>
      <c r="AA301" s="1107"/>
      <c r="AB301" s="1107"/>
      <c r="AC301" s="1107"/>
      <c r="AD301" s="1107"/>
      <c r="AE301" s="1107"/>
      <c r="AF301" s="1107"/>
      <c r="AG301" s="5" t="s">
        <v>857</v>
      </c>
      <c r="AH301" s="5"/>
      <c r="AI301" s="1110"/>
      <c r="AJ301" s="1110"/>
      <c r="AK301" s="1110"/>
      <c r="BA301" s="43"/>
    </row>
    <row r="302" spans="2:53" ht="12.95" customHeight="1">
      <c r="B302" s="41" t="s">
        <v>400</v>
      </c>
      <c r="C302" s="41"/>
      <c r="D302" s="41"/>
      <c r="E302" s="41"/>
      <c r="F302" s="41"/>
      <c r="G302" s="41"/>
      <c r="H302" s="1108"/>
      <c r="I302" s="1108"/>
      <c r="J302" s="1108"/>
      <c r="K302" s="1108"/>
      <c r="L302" s="1108"/>
      <c r="M302" s="1108"/>
      <c r="N302" s="5"/>
      <c r="O302" s="5"/>
      <c r="P302" s="44"/>
      <c r="Q302" s="44"/>
      <c r="R302" s="44"/>
      <c r="S302" s="41"/>
      <c r="T302" s="41" t="s">
        <v>400</v>
      </c>
      <c r="V302" s="41"/>
      <c r="W302" s="41"/>
      <c r="X302" s="41"/>
      <c r="Y302" s="41"/>
      <c r="AA302" s="1108"/>
      <c r="AB302" s="1108"/>
      <c r="AC302" s="1108"/>
      <c r="AD302" s="1108"/>
      <c r="AE302" s="1108"/>
      <c r="AF302" s="1108"/>
      <c r="AG302" s="5"/>
      <c r="AH302" s="5"/>
      <c r="AI302" s="44"/>
      <c r="AJ302" s="44"/>
      <c r="AK302" s="44"/>
      <c r="BA302" s="43"/>
    </row>
    <row r="303" spans="2:53" ht="12.95" customHeight="1">
      <c r="B303" s="41" t="s">
        <v>736</v>
      </c>
      <c r="C303" s="41"/>
      <c r="D303" s="41"/>
      <c r="E303" s="41"/>
      <c r="F303" s="41"/>
      <c r="G303" s="41"/>
      <c r="H303" s="1085" t="s">
        <v>2379</v>
      </c>
      <c r="I303" s="1085"/>
      <c r="J303" s="1085"/>
      <c r="K303" s="1085"/>
      <c r="L303" s="1085"/>
      <c r="M303" s="1085"/>
      <c r="N303" s="1084"/>
      <c r="O303" s="1084"/>
      <c r="P303" s="1084"/>
      <c r="Q303" s="1084"/>
      <c r="R303" s="1084"/>
      <c r="S303" s="41"/>
      <c r="T303" s="41" t="s">
        <v>736</v>
      </c>
      <c r="V303" s="41"/>
      <c r="W303" s="41"/>
      <c r="X303" s="41"/>
      <c r="Y303" s="41"/>
      <c r="AA303" s="1085"/>
      <c r="AB303" s="1085"/>
      <c r="AC303" s="1085"/>
      <c r="AD303" s="1085"/>
      <c r="AE303" s="1085"/>
      <c r="AF303" s="1085"/>
      <c r="AG303" s="1084"/>
      <c r="AH303" s="1084"/>
      <c r="AI303" s="1084"/>
      <c r="AJ303" s="1084"/>
      <c r="AK303" s="1084"/>
      <c r="BA303" s="43"/>
    </row>
    <row r="304" spans="2:53" ht="12.95" customHeight="1">
      <c r="BA304" s="43"/>
    </row>
    <row r="305" spans="2:53" ht="12.95" customHeight="1">
      <c r="B305" s="41" t="s">
        <v>737</v>
      </c>
      <c r="C305" s="41"/>
      <c r="D305" s="41"/>
      <c r="E305" s="41"/>
      <c r="F305" s="41"/>
      <c r="H305" s="1084" t="s">
        <v>2374</v>
      </c>
      <c r="I305" s="1084"/>
      <c r="J305" s="1084"/>
      <c r="K305" s="1084"/>
      <c r="L305" s="1084"/>
      <c r="M305" s="1084"/>
      <c r="N305" s="1084"/>
      <c r="O305" s="1084"/>
      <c r="P305" s="1084"/>
      <c r="Q305" s="1084"/>
      <c r="R305" s="1084"/>
      <c r="T305" s="5" t="s">
        <v>1150</v>
      </c>
      <c r="V305" s="41"/>
      <c r="W305" s="41"/>
      <c r="X305" s="41"/>
      <c r="Y305" s="41"/>
      <c r="AA305" s="1084" t="s">
        <v>2475</v>
      </c>
      <c r="AB305" s="1084"/>
      <c r="AC305" s="1084"/>
      <c r="AD305" s="1084"/>
      <c r="AE305" s="1084"/>
      <c r="AF305" s="1084"/>
      <c r="AG305" s="1084"/>
      <c r="AH305" s="1084"/>
      <c r="AI305" s="1084"/>
      <c r="AJ305" s="1084"/>
      <c r="AK305" s="1084"/>
      <c r="BA305" s="43"/>
    </row>
    <row r="306" spans="2:53" ht="12.95" customHeight="1">
      <c r="B306" s="41" t="s">
        <v>733</v>
      </c>
      <c r="C306" s="41"/>
      <c r="D306" s="41"/>
      <c r="E306" s="41"/>
      <c r="F306" s="41"/>
      <c r="H306" s="1085" t="s">
        <v>2375</v>
      </c>
      <c r="I306" s="1085"/>
      <c r="J306" s="1085"/>
      <c r="K306" s="1085"/>
      <c r="L306" s="1085"/>
      <c r="M306" s="1085"/>
      <c r="N306" s="1085"/>
      <c r="O306" s="1085"/>
      <c r="P306" s="1085"/>
      <c r="Q306" s="1085"/>
      <c r="R306" s="1085"/>
      <c r="T306" s="41" t="s">
        <v>733</v>
      </c>
      <c r="V306" s="41"/>
      <c r="W306" s="41"/>
      <c r="X306" s="41"/>
      <c r="Y306" s="41"/>
      <c r="AA306" s="1085" t="s">
        <v>2476</v>
      </c>
      <c r="AB306" s="1085"/>
      <c r="AC306" s="1085"/>
      <c r="AD306" s="1085"/>
      <c r="AE306" s="1085"/>
      <c r="AF306" s="1085"/>
      <c r="AG306" s="1085"/>
      <c r="AH306" s="1085"/>
      <c r="AI306" s="1085"/>
      <c r="AJ306" s="1085"/>
      <c r="AK306" s="1085"/>
      <c r="BA306" s="43"/>
    </row>
    <row r="307" spans="2:53" ht="12.95" customHeight="1">
      <c r="B307" s="41" t="s">
        <v>735</v>
      </c>
      <c r="C307" s="41"/>
      <c r="D307" s="41"/>
      <c r="E307" s="41"/>
      <c r="F307" s="41"/>
      <c r="H307" s="1085" t="s">
        <v>2376</v>
      </c>
      <c r="I307" s="1085"/>
      <c r="J307" s="1085"/>
      <c r="K307" s="1085"/>
      <c r="L307" s="1085"/>
      <c r="M307" s="1085"/>
      <c r="N307" s="1085"/>
      <c r="O307" s="1085"/>
      <c r="P307" s="1085"/>
      <c r="Q307" s="1085"/>
      <c r="R307" s="1085"/>
      <c r="T307" s="41" t="s">
        <v>734</v>
      </c>
      <c r="V307" s="41"/>
      <c r="W307" s="41"/>
      <c r="X307" s="41"/>
      <c r="Y307" s="41"/>
      <c r="AA307" s="1085" t="s">
        <v>2477</v>
      </c>
      <c r="AB307" s="1085"/>
      <c r="AC307" s="1085"/>
      <c r="AD307" s="1085"/>
      <c r="AE307" s="1085"/>
      <c r="AF307" s="1085"/>
      <c r="AG307" s="1085"/>
      <c r="AH307" s="1085"/>
      <c r="AI307" s="1085"/>
      <c r="AJ307" s="1085"/>
      <c r="AK307" s="1085"/>
      <c r="BA307" s="43"/>
    </row>
    <row r="308" spans="2:53" ht="12.95" customHeight="1">
      <c r="B308" s="41" t="s">
        <v>398</v>
      </c>
      <c r="C308" s="41"/>
      <c r="D308" s="41"/>
      <c r="E308" s="41"/>
      <c r="F308" s="41"/>
      <c r="H308" s="1085" t="s">
        <v>2377</v>
      </c>
      <c r="I308" s="1085"/>
      <c r="J308" s="1085"/>
      <c r="K308" s="1085"/>
      <c r="L308" s="1085"/>
      <c r="M308" s="1085"/>
      <c r="N308" s="1085"/>
      <c r="O308" s="1085"/>
      <c r="P308" s="1085"/>
      <c r="Q308" s="1085"/>
      <c r="R308" s="1085"/>
      <c r="T308" s="41" t="s">
        <v>398</v>
      </c>
      <c r="V308" s="41"/>
      <c r="W308" s="41"/>
      <c r="X308" s="41"/>
      <c r="Y308" s="41"/>
      <c r="AA308" s="1085" t="s">
        <v>2478</v>
      </c>
      <c r="AB308" s="1085"/>
      <c r="AC308" s="1085"/>
      <c r="AD308" s="1085"/>
      <c r="AE308" s="1085"/>
      <c r="AF308" s="1085"/>
      <c r="AG308" s="1085"/>
      <c r="AH308" s="1085"/>
      <c r="AI308" s="1085"/>
      <c r="AJ308" s="1085"/>
      <c r="AK308" s="1085"/>
      <c r="BA308" s="43"/>
    </row>
    <row r="309" spans="2:53" ht="12.95" customHeight="1">
      <c r="B309" s="41" t="s">
        <v>399</v>
      </c>
      <c r="C309" s="41"/>
      <c r="D309" s="41"/>
      <c r="E309" s="41"/>
      <c r="F309" s="41"/>
      <c r="G309" s="41"/>
      <c r="H309" s="1107" t="s">
        <v>2378</v>
      </c>
      <c r="I309" s="1107"/>
      <c r="J309" s="1107"/>
      <c r="K309" s="1107"/>
      <c r="L309" s="1107"/>
      <c r="M309" s="1107"/>
      <c r="N309" s="5" t="s">
        <v>857</v>
      </c>
      <c r="O309" s="5"/>
      <c r="P309" s="1110">
        <v>6</v>
      </c>
      <c r="Q309" s="1110"/>
      <c r="R309" s="1110"/>
      <c r="S309" s="41"/>
      <c r="T309" s="41" t="s">
        <v>399</v>
      </c>
      <c r="V309" s="41"/>
      <c r="W309" s="41"/>
      <c r="X309" s="41"/>
      <c r="Y309" s="41"/>
      <c r="AA309" s="1107" t="s">
        <v>2480</v>
      </c>
      <c r="AB309" s="1107"/>
      <c r="AC309" s="1107"/>
      <c r="AD309" s="1107"/>
      <c r="AE309" s="1107"/>
      <c r="AF309" s="1107"/>
      <c r="AG309" s="5" t="s">
        <v>857</v>
      </c>
      <c r="AH309" s="5"/>
      <c r="AI309" s="1110">
        <v>103</v>
      </c>
      <c r="AJ309" s="1110"/>
      <c r="AK309" s="1110"/>
      <c r="BA309" s="43"/>
    </row>
    <row r="310" spans="2:53" ht="12.95" customHeight="1">
      <c r="B310" s="41" t="s">
        <v>400</v>
      </c>
      <c r="C310" s="41"/>
      <c r="D310" s="41"/>
      <c r="E310" s="41"/>
      <c r="F310" s="41"/>
      <c r="G310" s="41"/>
      <c r="H310" s="1108"/>
      <c r="I310" s="1108"/>
      <c r="J310" s="1108"/>
      <c r="K310" s="1108"/>
      <c r="L310" s="1108"/>
      <c r="M310" s="1108"/>
      <c r="N310" s="5"/>
      <c r="O310" s="5"/>
      <c r="P310" s="44"/>
      <c r="Q310" s="44"/>
      <c r="R310" s="44"/>
      <c r="S310" s="41"/>
      <c r="T310" s="41" t="s">
        <v>400</v>
      </c>
      <c r="V310" s="41"/>
      <c r="W310" s="41"/>
      <c r="X310" s="41"/>
      <c r="Y310" s="41"/>
      <c r="AA310" s="1108"/>
      <c r="AB310" s="1108"/>
      <c r="AC310" s="1108"/>
      <c r="AD310" s="1108"/>
      <c r="AE310" s="1108"/>
      <c r="AF310" s="1108"/>
      <c r="AG310" s="5"/>
      <c r="AH310" s="5"/>
      <c r="AI310" s="44"/>
      <c r="AJ310" s="44"/>
      <c r="AK310" s="44"/>
      <c r="BA310" s="43"/>
    </row>
    <row r="311" spans="2:53" ht="12.95" customHeight="1">
      <c r="B311" s="41" t="s">
        <v>736</v>
      </c>
      <c r="C311" s="41"/>
      <c r="D311" s="41"/>
      <c r="E311" s="41"/>
      <c r="F311" s="41"/>
      <c r="G311" s="41"/>
      <c r="H311" s="1085" t="s">
        <v>2379</v>
      </c>
      <c r="I311" s="1085"/>
      <c r="J311" s="1085"/>
      <c r="K311" s="1085"/>
      <c r="L311" s="1085"/>
      <c r="M311" s="1085"/>
      <c r="N311" s="1084"/>
      <c r="O311" s="1084"/>
      <c r="P311" s="1084"/>
      <c r="Q311" s="1084"/>
      <c r="R311" s="1084"/>
      <c r="S311" s="41"/>
      <c r="T311" s="41" t="s">
        <v>736</v>
      </c>
      <c r="V311" s="41"/>
      <c r="W311" s="41"/>
      <c r="X311" s="41"/>
      <c r="Y311" s="41"/>
      <c r="AA311" s="1085" t="s">
        <v>2479</v>
      </c>
      <c r="AB311" s="1085"/>
      <c r="AC311" s="1085"/>
      <c r="AD311" s="1085"/>
      <c r="AE311" s="1085"/>
      <c r="AF311" s="1085"/>
      <c r="AG311" s="1084"/>
      <c r="AH311" s="1084"/>
      <c r="AI311" s="1084"/>
      <c r="AJ311" s="1084"/>
      <c r="AK311" s="1084"/>
      <c r="BA311" s="43"/>
    </row>
    <row r="312" spans="2:53" ht="12.95" customHeight="1">
      <c r="BA312" s="43"/>
    </row>
    <row r="313" spans="2:53" ht="12.95" customHeight="1">
      <c r="B313" s="5" t="s">
        <v>1192</v>
      </c>
      <c r="C313" s="41"/>
      <c r="D313" s="41"/>
      <c r="E313" s="41"/>
      <c r="F313" s="41"/>
      <c r="H313" s="1084" t="s">
        <v>2535</v>
      </c>
      <c r="I313" s="1084"/>
      <c r="J313" s="1084"/>
      <c r="K313" s="1084"/>
      <c r="L313" s="1084"/>
      <c r="M313" s="1084"/>
      <c r="N313" s="1084"/>
      <c r="O313" s="1084"/>
      <c r="P313" s="1084"/>
      <c r="Q313" s="1084"/>
      <c r="R313" s="1084"/>
      <c r="T313" s="41" t="s">
        <v>40</v>
      </c>
      <c r="V313" s="41"/>
      <c r="W313" s="41"/>
      <c r="X313" s="41"/>
      <c r="Y313" s="41"/>
      <c r="AA313" s="1084"/>
      <c r="AB313" s="1084"/>
      <c r="AC313" s="1084"/>
      <c r="AD313" s="1084"/>
      <c r="AE313" s="1084"/>
      <c r="AF313" s="1084"/>
      <c r="AG313" s="1084"/>
      <c r="AH313" s="1084"/>
      <c r="AI313" s="1084"/>
      <c r="AJ313" s="1084"/>
      <c r="AK313" s="1084"/>
      <c r="BA313" s="43"/>
    </row>
    <row r="314" spans="2:53" ht="12.95" customHeight="1">
      <c r="B314" s="41" t="s">
        <v>733</v>
      </c>
      <c r="C314" s="41"/>
      <c r="D314" s="41"/>
      <c r="E314" s="41"/>
      <c r="F314" s="41"/>
      <c r="H314" s="1085" t="s">
        <v>2536</v>
      </c>
      <c r="I314" s="1085"/>
      <c r="J314" s="1085"/>
      <c r="K314" s="1085"/>
      <c r="L314" s="1085"/>
      <c r="M314" s="1085"/>
      <c r="N314" s="1085"/>
      <c r="O314" s="1085"/>
      <c r="P314" s="1085"/>
      <c r="Q314" s="1085"/>
      <c r="R314" s="1085"/>
      <c r="T314" s="41" t="s">
        <v>733</v>
      </c>
      <c r="V314" s="41"/>
      <c r="W314" s="41"/>
      <c r="X314" s="41"/>
      <c r="Y314" s="41"/>
      <c r="AA314" s="1085"/>
      <c r="AB314" s="1085"/>
      <c r="AC314" s="1085"/>
      <c r="AD314" s="1085"/>
      <c r="AE314" s="1085"/>
      <c r="AF314" s="1085"/>
      <c r="AG314" s="1085"/>
      <c r="AH314" s="1085"/>
      <c r="AI314" s="1085"/>
      <c r="AJ314" s="1085"/>
      <c r="AK314" s="1085"/>
      <c r="BA314" s="43"/>
    </row>
    <row r="315" spans="2:53" ht="12.95" customHeight="1">
      <c r="B315" s="41" t="s">
        <v>735</v>
      </c>
      <c r="C315" s="41"/>
      <c r="D315" s="41"/>
      <c r="E315" s="41"/>
      <c r="F315" s="41"/>
      <c r="H315" s="1085" t="s">
        <v>2537</v>
      </c>
      <c r="I315" s="1085"/>
      <c r="J315" s="1085"/>
      <c r="K315" s="1085"/>
      <c r="L315" s="1085"/>
      <c r="M315" s="1085"/>
      <c r="N315" s="1085"/>
      <c r="O315" s="1085"/>
      <c r="P315" s="1085"/>
      <c r="Q315" s="1085"/>
      <c r="R315" s="1085"/>
      <c r="T315" s="41" t="s">
        <v>734</v>
      </c>
      <c r="V315" s="41"/>
      <c r="W315" s="41"/>
      <c r="X315" s="41"/>
      <c r="Y315" s="41"/>
      <c r="AA315" s="1085"/>
      <c r="AB315" s="1085"/>
      <c r="AC315" s="1085"/>
      <c r="AD315" s="1085"/>
      <c r="AE315" s="1085"/>
      <c r="AF315" s="1085"/>
      <c r="AG315" s="1085"/>
      <c r="AH315" s="1085"/>
      <c r="AI315" s="1085"/>
      <c r="AJ315" s="1085"/>
      <c r="AK315" s="1085"/>
      <c r="BA315" s="43"/>
    </row>
    <row r="316" spans="2:53" ht="12.95" customHeight="1">
      <c r="B316" s="41" t="s">
        <v>398</v>
      </c>
      <c r="C316" s="41"/>
      <c r="D316" s="41"/>
      <c r="E316" s="41"/>
      <c r="F316" s="41"/>
      <c r="H316" s="1085" t="s">
        <v>2538</v>
      </c>
      <c r="I316" s="1085"/>
      <c r="J316" s="1085"/>
      <c r="K316" s="1085"/>
      <c r="L316" s="1085"/>
      <c r="M316" s="1085"/>
      <c r="N316" s="1085"/>
      <c r="O316" s="1085"/>
      <c r="P316" s="1085"/>
      <c r="Q316" s="1085"/>
      <c r="R316" s="1085"/>
      <c r="T316" s="41" t="s">
        <v>398</v>
      </c>
      <c r="V316" s="41"/>
      <c r="W316" s="41"/>
      <c r="X316" s="41"/>
      <c r="Y316" s="41"/>
      <c r="AA316" s="1085"/>
      <c r="AB316" s="1085"/>
      <c r="AC316" s="1085"/>
      <c r="AD316" s="1085"/>
      <c r="AE316" s="1085"/>
      <c r="AF316" s="1085"/>
      <c r="AG316" s="1085"/>
      <c r="AH316" s="1085"/>
      <c r="AI316" s="1085"/>
      <c r="AJ316" s="1085"/>
      <c r="AK316" s="1085"/>
      <c r="BA316" s="43"/>
    </row>
    <row r="317" spans="2:53" ht="12.95" customHeight="1">
      <c r="B317" s="41" t="s">
        <v>399</v>
      </c>
      <c r="C317" s="41"/>
      <c r="D317" s="41"/>
      <c r="E317" s="41"/>
      <c r="F317" s="41"/>
      <c r="G317" s="41"/>
      <c r="H317" s="1107" t="s">
        <v>2539</v>
      </c>
      <c r="I317" s="1107"/>
      <c r="J317" s="1107"/>
      <c r="K317" s="1107"/>
      <c r="L317" s="1107"/>
      <c r="M317" s="1107"/>
      <c r="N317" s="5" t="s">
        <v>857</v>
      </c>
      <c r="O317" s="5"/>
      <c r="P317" s="1110"/>
      <c r="Q317" s="1110"/>
      <c r="R317" s="1110"/>
      <c r="S317" s="41"/>
      <c r="T317" s="41" t="s">
        <v>399</v>
      </c>
      <c r="V317" s="41"/>
      <c r="W317" s="41"/>
      <c r="X317" s="41"/>
      <c r="Y317" s="41"/>
      <c r="AA317" s="1107"/>
      <c r="AB317" s="1107"/>
      <c r="AC317" s="1107"/>
      <c r="AD317" s="1107"/>
      <c r="AE317" s="1107"/>
      <c r="AF317" s="1107"/>
      <c r="AG317" s="5" t="s">
        <v>857</v>
      </c>
      <c r="AH317" s="5"/>
      <c r="AI317" s="1110"/>
      <c r="AJ317" s="1110"/>
      <c r="AK317" s="1110"/>
      <c r="BA317" s="43"/>
    </row>
    <row r="318" spans="2:53" ht="12.95" customHeight="1">
      <c r="B318" s="41" t="s">
        <v>400</v>
      </c>
      <c r="C318" s="41"/>
      <c r="D318" s="41"/>
      <c r="E318" s="41"/>
      <c r="F318" s="41"/>
      <c r="G318" s="41"/>
      <c r="H318" s="1108" t="s">
        <v>2540</v>
      </c>
      <c r="I318" s="1108"/>
      <c r="J318" s="1108"/>
      <c r="K318" s="1108"/>
      <c r="L318" s="1108"/>
      <c r="M318" s="1108"/>
      <c r="N318" s="5"/>
      <c r="O318" s="5"/>
      <c r="P318" s="44"/>
      <c r="Q318" s="44"/>
      <c r="R318" s="44"/>
      <c r="S318" s="41"/>
      <c r="T318" s="41" t="s">
        <v>400</v>
      </c>
      <c r="V318" s="41"/>
      <c r="W318" s="41"/>
      <c r="X318" s="41"/>
      <c r="Y318" s="41"/>
      <c r="AA318" s="1108"/>
      <c r="AB318" s="1108"/>
      <c r="AC318" s="1108"/>
      <c r="AD318" s="1108"/>
      <c r="AE318" s="1108"/>
      <c r="AF318" s="1108"/>
      <c r="AG318" s="5"/>
      <c r="AH318" s="5"/>
      <c r="AI318" s="44"/>
      <c r="AJ318" s="44"/>
      <c r="AK318" s="44"/>
      <c r="BA318" s="43"/>
    </row>
    <row r="319" spans="2:53" ht="12.95" customHeight="1">
      <c r="B319" s="41" t="s">
        <v>736</v>
      </c>
      <c r="C319" s="41"/>
      <c r="D319" s="41"/>
      <c r="E319" s="41"/>
      <c r="F319" s="41"/>
      <c r="G319" s="41"/>
      <c r="H319" s="1085" t="s">
        <v>2541</v>
      </c>
      <c r="I319" s="1085"/>
      <c r="J319" s="1085"/>
      <c r="K319" s="1085"/>
      <c r="L319" s="1085"/>
      <c r="M319" s="1085"/>
      <c r="N319" s="1084"/>
      <c r="O319" s="1084"/>
      <c r="P319" s="1084"/>
      <c r="Q319" s="1084"/>
      <c r="R319" s="1084"/>
      <c r="S319" s="41"/>
      <c r="T319" s="41" t="s">
        <v>736</v>
      </c>
      <c r="V319" s="41"/>
      <c r="W319" s="41"/>
      <c r="X319" s="41"/>
      <c r="Y319" s="41"/>
      <c r="AA319" s="1085"/>
      <c r="AB319" s="1085"/>
      <c r="AC319" s="1085"/>
      <c r="AD319" s="1085"/>
      <c r="AE319" s="1085"/>
      <c r="AF319" s="1085"/>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84" t="s">
        <v>2490</v>
      </c>
      <c r="I321" s="1084"/>
      <c r="J321" s="1084"/>
      <c r="K321" s="1084"/>
      <c r="L321" s="1084"/>
      <c r="M321" s="1084"/>
      <c r="N321" s="1084"/>
      <c r="O321" s="1084"/>
      <c r="P321" s="1084"/>
      <c r="Q321" s="1084"/>
      <c r="R321" s="1084"/>
      <c r="T321" s="41" t="s">
        <v>41</v>
      </c>
      <c r="V321" s="41"/>
      <c r="W321" s="41"/>
      <c r="X321" s="41"/>
      <c r="Y321" s="41"/>
      <c r="AA321" s="1084" t="s">
        <v>2481</v>
      </c>
      <c r="AB321" s="1084"/>
      <c r="AC321" s="1084"/>
      <c r="AD321" s="1084"/>
      <c r="AE321" s="1084"/>
      <c r="AF321" s="1084"/>
      <c r="AG321" s="1084"/>
      <c r="AH321" s="1084"/>
      <c r="AI321" s="1084"/>
      <c r="AJ321" s="1084"/>
      <c r="AK321" s="1084"/>
      <c r="BA321" s="43"/>
    </row>
    <row r="322" spans="2:53" ht="12.95" customHeight="1">
      <c r="B322" s="41" t="s">
        <v>733</v>
      </c>
      <c r="C322" s="41"/>
      <c r="D322" s="41"/>
      <c r="E322" s="41"/>
      <c r="F322" s="41"/>
      <c r="H322" s="1085" t="s">
        <v>2491</v>
      </c>
      <c r="I322" s="1085"/>
      <c r="J322" s="1085"/>
      <c r="K322" s="1085"/>
      <c r="L322" s="1085"/>
      <c r="M322" s="1085"/>
      <c r="N322" s="1085"/>
      <c r="O322" s="1085"/>
      <c r="P322" s="1085"/>
      <c r="Q322" s="1085"/>
      <c r="R322" s="1085"/>
      <c r="T322" s="41" t="s">
        <v>733</v>
      </c>
      <c r="V322" s="41"/>
      <c r="W322" s="41"/>
      <c r="X322" s="41"/>
      <c r="Y322" s="41"/>
      <c r="AA322" s="1085" t="s">
        <v>2482</v>
      </c>
      <c r="AB322" s="1085"/>
      <c r="AC322" s="1085"/>
      <c r="AD322" s="1085"/>
      <c r="AE322" s="1085"/>
      <c r="AF322" s="1085"/>
      <c r="AG322" s="1085"/>
      <c r="AH322" s="1085"/>
      <c r="AI322" s="1085"/>
      <c r="AJ322" s="1085"/>
      <c r="AK322" s="1085"/>
      <c r="BA322" s="43"/>
    </row>
    <row r="323" spans="2:53" ht="12.95" customHeight="1">
      <c r="B323" s="41" t="s">
        <v>735</v>
      </c>
      <c r="C323" s="41"/>
      <c r="D323" s="41"/>
      <c r="E323" s="41"/>
      <c r="F323" s="41"/>
      <c r="H323" s="1085" t="s">
        <v>2492</v>
      </c>
      <c r="I323" s="1085"/>
      <c r="J323" s="1085"/>
      <c r="K323" s="1085"/>
      <c r="L323" s="1085"/>
      <c r="M323" s="1085"/>
      <c r="N323" s="1085"/>
      <c r="O323" s="1085"/>
      <c r="P323" s="1085"/>
      <c r="Q323" s="1085"/>
      <c r="R323" s="1085"/>
      <c r="T323" s="41" t="s">
        <v>734</v>
      </c>
      <c r="V323" s="41"/>
      <c r="W323" s="41"/>
      <c r="X323" s="41"/>
      <c r="Y323" s="41"/>
      <c r="AA323" s="1085" t="s">
        <v>2483</v>
      </c>
      <c r="AB323" s="1085"/>
      <c r="AC323" s="1085"/>
      <c r="AD323" s="1085"/>
      <c r="AE323" s="1085"/>
      <c r="AF323" s="1085"/>
      <c r="AG323" s="1085"/>
      <c r="AH323" s="1085"/>
      <c r="AI323" s="1085"/>
      <c r="AJ323" s="1085"/>
      <c r="AK323" s="1085"/>
      <c r="BA323" s="43"/>
    </row>
    <row r="324" spans="2:53" ht="12.95" customHeight="1">
      <c r="B324" s="41" t="s">
        <v>398</v>
      </c>
      <c r="C324" s="41"/>
      <c r="D324" s="41"/>
      <c r="E324" s="41"/>
      <c r="F324" s="41"/>
      <c r="H324" s="1134" t="s">
        <v>2493</v>
      </c>
      <c r="I324" s="1085"/>
      <c r="J324" s="1085"/>
      <c r="K324" s="1085"/>
      <c r="L324" s="1085"/>
      <c r="M324" s="1085"/>
      <c r="N324" s="1085"/>
      <c r="O324" s="1085"/>
      <c r="P324" s="1085"/>
      <c r="Q324" s="1085"/>
      <c r="R324" s="1085"/>
      <c r="T324" s="41" t="s">
        <v>398</v>
      </c>
      <c r="V324" s="41"/>
      <c r="W324" s="41"/>
      <c r="X324" s="41"/>
      <c r="Y324" s="41"/>
      <c r="AA324" s="1085" t="s">
        <v>2484</v>
      </c>
      <c r="AB324" s="1085"/>
      <c r="AC324" s="1085"/>
      <c r="AD324" s="1085"/>
      <c r="AE324" s="1085"/>
      <c r="AF324" s="1085"/>
      <c r="AG324" s="1085"/>
      <c r="AH324" s="1085"/>
      <c r="AI324" s="1085"/>
      <c r="AJ324" s="1085"/>
      <c r="AK324" s="1085"/>
      <c r="BA324" s="43"/>
    </row>
    <row r="325" spans="2:53" ht="12.95" customHeight="1">
      <c r="B325" s="41" t="s">
        <v>399</v>
      </c>
      <c r="C325" s="41"/>
      <c r="D325" s="41"/>
      <c r="E325" s="41"/>
      <c r="F325" s="41"/>
      <c r="G325" s="41"/>
      <c r="H325" s="1107">
        <v>5108328300</v>
      </c>
      <c r="I325" s="1107"/>
      <c r="J325" s="1107"/>
      <c r="K325" s="1107"/>
      <c r="L325" s="1107"/>
      <c r="M325" s="1107"/>
      <c r="N325" s="5" t="s">
        <v>857</v>
      </c>
      <c r="O325" s="5"/>
      <c r="P325" s="1110">
        <v>4</v>
      </c>
      <c r="Q325" s="1110"/>
      <c r="R325" s="1110"/>
      <c r="S325" s="41"/>
      <c r="T325" s="41" t="s">
        <v>399</v>
      </c>
      <c r="V325" s="41"/>
      <c r="W325" s="41"/>
      <c r="X325" s="41"/>
      <c r="Y325" s="41"/>
      <c r="AA325" s="1107" t="s">
        <v>2485</v>
      </c>
      <c r="AB325" s="1107"/>
      <c r="AC325" s="1107"/>
      <c r="AD325" s="1107"/>
      <c r="AE325" s="1107"/>
      <c r="AF325" s="1107"/>
      <c r="AG325" s="5" t="s">
        <v>857</v>
      </c>
      <c r="AH325" s="5"/>
      <c r="AI325" s="1110"/>
      <c r="AJ325" s="1110"/>
      <c r="AK325" s="1110"/>
      <c r="BA325" s="43"/>
    </row>
    <row r="326" spans="2:53" ht="12.95" customHeight="1">
      <c r="B326" s="41" t="s">
        <v>400</v>
      </c>
      <c r="C326" s="41"/>
      <c r="D326" s="41"/>
      <c r="E326" s="41"/>
      <c r="F326" s="41"/>
      <c r="G326" s="41"/>
      <c r="H326" s="1108"/>
      <c r="I326" s="1108"/>
      <c r="J326" s="1108"/>
      <c r="K326" s="1108"/>
      <c r="L326" s="1108"/>
      <c r="M326" s="1108"/>
      <c r="N326" s="5"/>
      <c r="O326" s="5"/>
      <c r="P326" s="44"/>
      <c r="Q326" s="44"/>
      <c r="R326" s="44"/>
      <c r="S326" s="41"/>
      <c r="T326" s="41" t="s">
        <v>400</v>
      </c>
      <c r="V326" s="41"/>
      <c r="W326" s="41"/>
      <c r="X326" s="41"/>
      <c r="Y326" s="41"/>
      <c r="AA326" s="1108"/>
      <c r="AB326" s="1108"/>
      <c r="AC326" s="1108"/>
      <c r="AD326" s="1108"/>
      <c r="AE326" s="1108"/>
      <c r="AF326" s="1108"/>
      <c r="AG326" s="5"/>
      <c r="AH326" s="5"/>
      <c r="AI326" s="44"/>
      <c r="AJ326" s="44"/>
      <c r="AK326" s="44"/>
      <c r="BA326" s="43"/>
    </row>
    <row r="327" spans="2:53" ht="12.95" customHeight="1">
      <c r="B327" s="41" t="s">
        <v>736</v>
      </c>
      <c r="C327" s="41"/>
      <c r="D327" s="41"/>
      <c r="E327" s="41"/>
      <c r="F327" s="41"/>
      <c r="G327" s="41"/>
      <c r="H327" s="1134" t="s">
        <v>2494</v>
      </c>
      <c r="I327" s="1085"/>
      <c r="J327" s="1085"/>
      <c r="K327" s="1085"/>
      <c r="L327" s="1085"/>
      <c r="M327" s="1085"/>
      <c r="N327" s="1084"/>
      <c r="O327" s="1084"/>
      <c r="P327" s="1084"/>
      <c r="Q327" s="1084"/>
      <c r="R327" s="1084"/>
      <c r="S327" s="41"/>
      <c r="T327" s="41" t="s">
        <v>736</v>
      </c>
      <c r="V327" s="41"/>
      <c r="W327" s="41"/>
      <c r="X327" s="41"/>
      <c r="Y327" s="41"/>
      <c r="AA327" s="1085" t="s">
        <v>2486</v>
      </c>
      <c r="AB327" s="1085"/>
      <c r="AC327" s="1085"/>
      <c r="AD327" s="1085"/>
      <c r="AE327" s="1085"/>
      <c r="AF327" s="1085"/>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4" t="str">
        <f>AA321</f>
        <v>Kinetic Valuation Group</v>
      </c>
      <c r="I329" s="1084"/>
      <c r="J329" s="1084"/>
      <c r="K329" s="1084"/>
      <c r="L329" s="1084"/>
      <c r="M329" s="1084"/>
      <c r="N329" s="1084"/>
      <c r="O329" s="1084"/>
      <c r="P329" s="1084"/>
      <c r="Q329" s="1084"/>
      <c r="R329" s="1084"/>
      <c r="T329" s="5" t="s">
        <v>1151</v>
      </c>
      <c r="V329" s="41"/>
      <c r="W329" s="41"/>
      <c r="X329" s="41"/>
      <c r="Y329" s="41"/>
      <c r="AA329" s="1084" t="s">
        <v>2380</v>
      </c>
      <c r="AB329" s="1084"/>
      <c r="AC329" s="1084"/>
      <c r="AD329" s="1084"/>
      <c r="AE329" s="1084"/>
      <c r="AF329" s="1084"/>
      <c r="AG329" s="1084"/>
      <c r="AH329" s="1084"/>
      <c r="AI329" s="1084"/>
      <c r="AJ329" s="1084"/>
      <c r="AK329" s="1084"/>
      <c r="BA329" s="43"/>
    </row>
    <row r="330" spans="2:53" ht="12.95" customHeight="1">
      <c r="B330" s="41" t="s">
        <v>733</v>
      </c>
      <c r="C330" s="41"/>
      <c r="D330" s="41"/>
      <c r="E330" s="41"/>
      <c r="F330" s="41"/>
      <c r="H330" s="1085" t="str">
        <f>AA322</f>
        <v>PO Box 68</v>
      </c>
      <c r="I330" s="1085"/>
      <c r="J330" s="1085"/>
      <c r="K330" s="1085"/>
      <c r="L330" s="1085"/>
      <c r="M330" s="1085"/>
      <c r="N330" s="1085"/>
      <c r="O330" s="1085"/>
      <c r="P330" s="1085"/>
      <c r="Q330" s="1085"/>
      <c r="R330" s="1085"/>
      <c r="T330" s="41" t="s">
        <v>733</v>
      </c>
      <c r="V330" s="41"/>
      <c r="W330" s="41"/>
      <c r="X330" s="41"/>
      <c r="Y330" s="41"/>
      <c r="AA330" s="1085" t="s">
        <v>2366</v>
      </c>
      <c r="AB330" s="1085"/>
      <c r="AC330" s="1085"/>
      <c r="AD330" s="1085"/>
      <c r="AE330" s="1085"/>
      <c r="AF330" s="1085"/>
      <c r="AG330" s="1085"/>
      <c r="AH330" s="1085"/>
      <c r="AI330" s="1085"/>
      <c r="AJ330" s="1085"/>
      <c r="AK330" s="1085"/>
      <c r="BA330" s="43"/>
    </row>
    <row r="331" spans="2:53" ht="12.95" customHeight="1">
      <c r="B331" s="41" t="s">
        <v>735</v>
      </c>
      <c r="C331" s="41"/>
      <c r="D331" s="41"/>
      <c r="E331" s="41"/>
      <c r="F331" s="41"/>
      <c r="G331" s="41"/>
      <c r="H331" s="1085" t="str">
        <f>AA323</f>
        <v>Corona Del Mar, CA 92625</v>
      </c>
      <c r="I331" s="1085"/>
      <c r="J331" s="1085"/>
      <c r="K331" s="1085"/>
      <c r="L331" s="1085"/>
      <c r="M331" s="1085"/>
      <c r="N331" s="1085"/>
      <c r="O331" s="1085"/>
      <c r="P331" s="1085"/>
      <c r="Q331" s="1085"/>
      <c r="R331" s="1085"/>
      <c r="T331" s="41" t="s">
        <v>734</v>
      </c>
      <c r="V331" s="41"/>
      <c r="W331" s="41"/>
      <c r="X331" s="41"/>
      <c r="Y331" s="41"/>
      <c r="AA331" s="1085" t="s">
        <v>2381</v>
      </c>
      <c r="AB331" s="1085"/>
      <c r="AC331" s="1085"/>
      <c r="AD331" s="1085"/>
      <c r="AE331" s="1085"/>
      <c r="AF331" s="1085"/>
      <c r="AG331" s="1085"/>
      <c r="AH331" s="1085"/>
      <c r="AI331" s="1085"/>
      <c r="AJ331" s="1085"/>
      <c r="AK331" s="1085"/>
      <c r="BA331" s="43"/>
    </row>
    <row r="332" spans="2:53" ht="12.95" customHeight="1">
      <c r="B332" s="41" t="s">
        <v>398</v>
      </c>
      <c r="C332" s="41"/>
      <c r="D332" s="41"/>
      <c r="E332" s="41"/>
      <c r="F332" s="41"/>
      <c r="H332" s="1085" t="s">
        <v>2487</v>
      </c>
      <c r="I332" s="1085"/>
      <c r="J332" s="1085"/>
      <c r="K332" s="1085"/>
      <c r="L332" s="1085"/>
      <c r="M332" s="1085"/>
      <c r="N332" s="1085"/>
      <c r="O332" s="1085"/>
      <c r="P332" s="1085"/>
      <c r="Q332" s="1085"/>
      <c r="R332" s="1085"/>
      <c r="T332" s="41" t="s">
        <v>398</v>
      </c>
      <c r="V332" s="41"/>
      <c r="W332" s="41"/>
      <c r="X332" s="41"/>
      <c r="Y332" s="41"/>
      <c r="AA332" s="1085" t="s">
        <v>2382</v>
      </c>
      <c r="AB332" s="1085"/>
      <c r="AC332" s="1085"/>
      <c r="AD332" s="1085"/>
      <c r="AE332" s="1085"/>
      <c r="AF332" s="1085"/>
      <c r="AG332" s="1085"/>
      <c r="AH332" s="1085"/>
      <c r="AI332" s="1085"/>
      <c r="AJ332" s="1085"/>
      <c r="AK332" s="1085"/>
      <c r="BA332" s="43"/>
    </row>
    <row r="333" spans="2:53" ht="12.95" customHeight="1">
      <c r="B333" s="41" t="s">
        <v>399</v>
      </c>
      <c r="C333" s="41"/>
      <c r="D333" s="41"/>
      <c r="E333" s="41"/>
      <c r="F333" s="41"/>
      <c r="G333" s="41"/>
      <c r="H333" s="1107" t="s">
        <v>2488</v>
      </c>
      <c r="I333" s="1107"/>
      <c r="J333" s="1107"/>
      <c r="K333" s="1107"/>
      <c r="L333" s="1107"/>
      <c r="M333" s="1107"/>
      <c r="N333" s="5" t="s">
        <v>857</v>
      </c>
      <c r="O333" s="5"/>
      <c r="P333" s="1110"/>
      <c r="Q333" s="1110"/>
      <c r="R333" s="1110"/>
      <c r="T333" s="41" t="s">
        <v>399</v>
      </c>
      <c r="V333" s="41"/>
      <c r="W333" s="41"/>
      <c r="X333" s="41"/>
      <c r="Y333" s="41"/>
      <c r="AA333" s="1107" t="s">
        <v>2383</v>
      </c>
      <c r="AB333" s="1107"/>
      <c r="AC333" s="1107"/>
      <c r="AD333" s="1107"/>
      <c r="AE333" s="1107"/>
      <c r="AF333" s="1107"/>
      <c r="AG333" s="5" t="s">
        <v>857</v>
      </c>
      <c r="AH333" s="5"/>
      <c r="AI333" s="1110"/>
      <c r="AJ333" s="1110"/>
      <c r="AK333" s="1110"/>
      <c r="BA333" s="43"/>
    </row>
    <row r="334" spans="2:53" ht="12.95" customHeight="1">
      <c r="B334" s="41" t="s">
        <v>400</v>
      </c>
      <c r="C334" s="41"/>
      <c r="D334" s="41"/>
      <c r="E334" s="41"/>
      <c r="F334" s="41"/>
      <c r="G334" s="41"/>
      <c r="H334" s="1108"/>
      <c r="I334" s="1108"/>
      <c r="J334" s="1108"/>
      <c r="K334" s="1108"/>
      <c r="L334" s="1108"/>
      <c r="M334" s="1108"/>
      <c r="N334" s="5"/>
      <c r="O334" s="5"/>
      <c r="P334" s="44"/>
      <c r="Q334" s="44"/>
      <c r="R334" s="44"/>
      <c r="T334" s="41" t="s">
        <v>400</v>
      </c>
      <c r="V334" s="41"/>
      <c r="W334" s="41"/>
      <c r="X334" s="41"/>
      <c r="Y334" s="41"/>
      <c r="AA334" s="1108"/>
      <c r="AB334" s="1108"/>
      <c r="AC334" s="1108"/>
      <c r="AD334" s="1108"/>
      <c r="AE334" s="1108"/>
      <c r="AF334" s="1108"/>
      <c r="AG334" s="5"/>
      <c r="AH334" s="5"/>
      <c r="AI334" s="44"/>
      <c r="AJ334" s="44"/>
      <c r="AK334" s="44"/>
      <c r="BA334" s="43"/>
    </row>
    <row r="335" spans="2:53" ht="12.95" customHeight="1">
      <c r="B335" s="41" t="s">
        <v>736</v>
      </c>
      <c r="C335" s="41"/>
      <c r="D335" s="41"/>
      <c r="E335" s="41"/>
      <c r="F335" s="41"/>
      <c r="G335" s="41"/>
      <c r="H335" s="1085" t="s">
        <v>2489</v>
      </c>
      <c r="I335" s="1085"/>
      <c r="J335" s="1085"/>
      <c r="K335" s="1085"/>
      <c r="L335" s="1085"/>
      <c r="M335" s="1085"/>
      <c r="N335" s="1084"/>
      <c r="O335" s="1084"/>
      <c r="P335" s="1084"/>
      <c r="Q335" s="1084"/>
      <c r="R335" s="1084"/>
      <c r="T335" s="41" t="s">
        <v>736</v>
      </c>
      <c r="V335" s="41"/>
      <c r="W335" s="41"/>
      <c r="X335" s="41"/>
      <c r="Y335" s="41"/>
      <c r="AA335" s="1085" t="s">
        <v>2384</v>
      </c>
      <c r="AB335" s="1085"/>
      <c r="AC335" s="1085"/>
      <c r="AD335" s="1085"/>
      <c r="AE335" s="1085"/>
      <c r="AF335" s="1085"/>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4"/>
      <c r="I337" s="1084"/>
      <c r="J337" s="1084"/>
      <c r="K337" s="1084"/>
      <c r="L337" s="1084"/>
      <c r="M337" s="1084"/>
      <c r="N337" s="1084"/>
      <c r="O337" s="1084"/>
      <c r="P337" s="1084"/>
      <c r="Q337" s="1084"/>
      <c r="R337" s="1084"/>
      <c r="T337" s="365" t="s">
        <v>1191</v>
      </c>
      <c r="AA337" s="1084"/>
      <c r="AB337" s="1084"/>
      <c r="AC337" s="1084"/>
      <c r="AD337" s="1084"/>
      <c r="AE337" s="1084"/>
      <c r="AF337" s="1084"/>
      <c r="AG337" s="1084"/>
      <c r="AH337" s="1084"/>
      <c r="AI337" s="1084"/>
      <c r="AJ337" s="1084"/>
      <c r="AK337" s="1084"/>
      <c r="BA337" s="43"/>
    </row>
    <row r="338" spans="1:53" ht="12.95" customHeight="1">
      <c r="B338" s="365" t="s">
        <v>733</v>
      </c>
      <c r="C338" s="365"/>
      <c r="D338" s="365"/>
      <c r="E338" s="365"/>
      <c r="F338" s="365"/>
      <c r="G338" s="365"/>
      <c r="H338" s="1085"/>
      <c r="I338" s="1085"/>
      <c r="J338" s="1085"/>
      <c r="K338" s="1085"/>
      <c r="L338" s="1085"/>
      <c r="M338" s="1085"/>
      <c r="N338" s="1085"/>
      <c r="O338" s="1085"/>
      <c r="P338" s="1085"/>
      <c r="Q338" s="1085"/>
      <c r="R338" s="1085"/>
      <c r="T338" s="41" t="s">
        <v>733</v>
      </c>
      <c r="AA338" s="1085"/>
      <c r="AB338" s="1085"/>
      <c r="AC338" s="1085"/>
      <c r="AD338" s="1085"/>
      <c r="AE338" s="1085"/>
      <c r="AF338" s="1085"/>
      <c r="AG338" s="1085"/>
      <c r="AH338" s="1085"/>
      <c r="AI338" s="1085"/>
      <c r="AJ338" s="1085"/>
      <c r="AK338" s="1085"/>
      <c r="BA338" s="43"/>
    </row>
    <row r="339" spans="1:53" ht="12.95" customHeight="1">
      <c r="B339" s="365" t="s">
        <v>735</v>
      </c>
      <c r="C339" s="365"/>
      <c r="D339" s="365"/>
      <c r="E339" s="365"/>
      <c r="F339" s="365"/>
      <c r="G339" s="365"/>
      <c r="H339" s="1085"/>
      <c r="I339" s="1085"/>
      <c r="J339" s="1085"/>
      <c r="K339" s="1085"/>
      <c r="L339" s="1085"/>
      <c r="M339" s="1085"/>
      <c r="N339" s="1085"/>
      <c r="O339" s="1085"/>
      <c r="P339" s="1085"/>
      <c r="Q339" s="1085"/>
      <c r="R339" s="1085"/>
      <c r="T339" s="41" t="s">
        <v>734</v>
      </c>
      <c r="AA339" s="1085"/>
      <c r="AB339" s="1085"/>
      <c r="AC339" s="1085"/>
      <c r="AD339" s="1085"/>
      <c r="AE339" s="1085"/>
      <c r="AF339" s="1085"/>
      <c r="AG339" s="1085"/>
      <c r="AH339" s="1085"/>
      <c r="AI339" s="1085"/>
      <c r="AJ339" s="1085"/>
      <c r="AK339" s="1085"/>
    </row>
    <row r="340" spans="1:53" ht="12.95"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5" customHeight="1">
      <c r="B341" s="365" t="s">
        <v>399</v>
      </c>
      <c r="C341" s="365"/>
      <c r="D341" s="365"/>
      <c r="E341" s="365"/>
      <c r="F341" s="365"/>
      <c r="G341" s="365"/>
      <c r="H341" s="1107"/>
      <c r="I341" s="1107"/>
      <c r="J341" s="1107"/>
      <c r="K341" s="1107"/>
      <c r="L341" s="1107"/>
      <c r="M341" s="1107"/>
      <c r="N341" s="5" t="s">
        <v>857</v>
      </c>
      <c r="O341" s="5"/>
      <c r="P341" s="1110"/>
      <c r="Q341" s="1110"/>
      <c r="R341" s="1110"/>
      <c r="T341" s="41" t="s">
        <v>399</v>
      </c>
      <c r="AA341" s="1107"/>
      <c r="AB341" s="1107"/>
      <c r="AC341" s="1107"/>
      <c r="AD341" s="1107"/>
      <c r="AE341" s="1107"/>
      <c r="AF341" s="1107"/>
      <c r="AG341" s="5" t="s">
        <v>857</v>
      </c>
      <c r="AH341" s="5"/>
      <c r="AI341" s="1110"/>
      <c r="AJ341" s="1110"/>
      <c r="AK341" s="1110"/>
    </row>
    <row r="342" spans="1:53" ht="12.95" customHeight="1">
      <c r="B342" s="365" t="s">
        <v>400</v>
      </c>
      <c r="C342" s="365"/>
      <c r="D342" s="365"/>
      <c r="E342" s="365"/>
      <c r="F342" s="365"/>
      <c r="G342" s="365"/>
      <c r="H342" s="1108"/>
      <c r="I342" s="1108"/>
      <c r="J342" s="1108"/>
      <c r="K342" s="1108"/>
      <c r="L342" s="1108"/>
      <c r="M342" s="1108"/>
      <c r="N342" s="5"/>
      <c r="O342" s="5"/>
      <c r="P342" s="44"/>
      <c r="Q342" s="44"/>
      <c r="R342" s="44"/>
      <c r="T342" s="41" t="s">
        <v>400</v>
      </c>
      <c r="AA342" s="1108"/>
      <c r="AB342" s="1108"/>
      <c r="AC342" s="1108"/>
      <c r="AD342" s="1108"/>
      <c r="AE342" s="1108"/>
      <c r="AF342" s="1108"/>
      <c r="AG342" s="5"/>
      <c r="AH342" s="5"/>
      <c r="AI342" s="44"/>
      <c r="AJ342" s="44"/>
      <c r="AK342" s="44"/>
    </row>
    <row r="343" spans="1:53" ht="12.95" customHeight="1">
      <c r="B343" s="365" t="s">
        <v>736</v>
      </c>
      <c r="C343" s="365"/>
      <c r="D343" s="365"/>
      <c r="E343" s="365"/>
      <c r="F343" s="365"/>
      <c r="G343" s="365"/>
      <c r="H343" s="1085"/>
      <c r="I343" s="1085"/>
      <c r="J343" s="1085"/>
      <c r="K343" s="1085"/>
      <c r="L343" s="1085"/>
      <c r="M343" s="1085"/>
      <c r="N343" s="1084"/>
      <c r="O343" s="1084"/>
      <c r="P343" s="1084"/>
      <c r="Q343" s="1084"/>
      <c r="R343" s="1084"/>
      <c r="T343" s="41" t="s">
        <v>736</v>
      </c>
      <c r="AA343" s="1085"/>
      <c r="AB343" s="1085"/>
      <c r="AC343" s="1085"/>
      <c r="AD343" s="1085"/>
      <c r="AE343" s="1085"/>
      <c r="AF343" s="1085"/>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2" t="s">
        <v>525</v>
      </c>
      <c r="B345" s="1282"/>
      <c r="C345" s="1282"/>
      <c r="D345" s="1282"/>
      <c r="E345" s="1282"/>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c r="AA345" s="1282"/>
      <c r="AB345" s="1282"/>
      <c r="AC345" s="1282"/>
      <c r="AD345" s="1282"/>
      <c r="AE345" s="1282"/>
      <c r="AF345" s="1282"/>
      <c r="AG345" s="1282"/>
      <c r="AH345" s="1282"/>
      <c r="AI345" s="1282"/>
      <c r="AJ345" s="1282"/>
      <c r="AK345" s="1282"/>
      <c r="AL345" s="1282"/>
    </row>
    <row r="346" spans="1:53" ht="12.95" customHeight="1" thickBot="1">
      <c r="A346" s="1283"/>
      <c r="B346" s="1283"/>
      <c r="C346" s="1283"/>
      <c r="D346" s="1283"/>
      <c r="E346" s="1283"/>
      <c r="F346" s="1283"/>
      <c r="G346" s="1283"/>
      <c r="H346" s="1283"/>
      <c r="I346" s="1283"/>
      <c r="J346" s="1283"/>
      <c r="K346" s="1283"/>
      <c r="L346" s="1283"/>
      <c r="M346" s="1283"/>
      <c r="N346" s="1283"/>
      <c r="O346" s="1283"/>
      <c r="P346" s="1283"/>
      <c r="Q346" s="1283"/>
      <c r="R346" s="1283"/>
      <c r="S346" s="1283"/>
      <c r="T346" s="1283"/>
      <c r="U346" s="1283"/>
      <c r="V346" s="1283"/>
      <c r="W346" s="1283"/>
      <c r="X346" s="1283"/>
      <c r="Y346" s="1283"/>
      <c r="Z346" s="1283"/>
      <c r="AA346" s="1283"/>
      <c r="AB346" s="1283"/>
      <c r="AC346" s="1283"/>
      <c r="AD346" s="1283"/>
      <c r="AE346" s="1283"/>
      <c r="AF346" s="1283"/>
      <c r="AG346" s="1283"/>
      <c r="AH346" s="1283"/>
      <c r="AI346" s="1283"/>
      <c r="AJ346" s="1283"/>
      <c r="AK346" s="1283"/>
      <c r="AL346" s="128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109" t="s">
        <v>116</v>
      </c>
      <c r="N349" s="1109"/>
      <c r="P349" t="s">
        <v>2055</v>
      </c>
      <c r="AJ349" s="1109" t="s">
        <v>116</v>
      </c>
      <c r="AK349" s="1109"/>
    </row>
    <row r="350" spans="1:53" ht="12.95" customHeight="1">
      <c r="D350" s="41" t="s">
        <v>1978</v>
      </c>
      <c r="M350" s="1109" t="s">
        <v>132</v>
      </c>
      <c r="N350" s="1109"/>
      <c r="P350" s="41" t="s">
        <v>2056</v>
      </c>
      <c r="AJ350" s="1050"/>
      <c r="AK350" s="1050"/>
    </row>
    <row r="351" spans="1:53" ht="12.95" customHeight="1">
      <c r="D351" t="s">
        <v>333</v>
      </c>
      <c r="M351" s="1109" t="s">
        <v>132</v>
      </c>
      <c r="N351" s="1109"/>
      <c r="P351" t="s">
        <v>2057</v>
      </c>
      <c r="AJ351" s="1109" t="s">
        <v>510</v>
      </c>
      <c r="AK351" s="1109"/>
    </row>
    <row r="352" spans="1:53" ht="12.95" customHeight="1">
      <c r="D352" t="s">
        <v>334</v>
      </c>
      <c r="M352" s="1109" t="s">
        <v>132</v>
      </c>
      <c r="N352" s="1109"/>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09" t="s">
        <v>132</v>
      </c>
      <c r="O357" s="1109"/>
      <c r="P357" s="49"/>
      <c r="Q357" s="49"/>
      <c r="R357" s="49"/>
      <c r="S357" s="49"/>
      <c r="T357" s="49"/>
      <c r="U357" s="49"/>
      <c r="V357" s="49"/>
      <c r="W357" s="49"/>
      <c r="X357" s="49"/>
      <c r="Y357" s="49"/>
      <c r="Z357" s="49"/>
      <c r="AC357" s="49"/>
      <c r="AD357" s="49"/>
      <c r="AE357" s="49"/>
    </row>
    <row r="358" spans="1:57" ht="12.95" customHeight="1">
      <c r="E358" t="s">
        <v>767</v>
      </c>
      <c r="Y358" s="1109" t="s">
        <v>132</v>
      </c>
      <c r="Z358" s="1109"/>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09" t="s">
        <v>132</v>
      </c>
      <c r="K360" s="1109"/>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5" customHeight="1">
      <c r="E363" s="5" t="s">
        <v>624</v>
      </c>
      <c r="F363" s="5"/>
      <c r="G363" s="5"/>
      <c r="H363" s="5"/>
      <c r="I363" s="5"/>
      <c r="J363" s="5"/>
      <c r="K363" s="5"/>
      <c r="L363" s="5"/>
      <c r="N363" s="1111"/>
      <c r="O363" s="1111"/>
      <c r="P363" s="1111"/>
      <c r="Q363" s="1111"/>
      <c r="R363" s="5"/>
      <c r="U363" s="5" t="s">
        <v>625</v>
      </c>
      <c r="V363" s="5"/>
      <c r="W363" s="5"/>
      <c r="X363" s="5"/>
      <c r="Y363" s="5"/>
      <c r="Z363" s="5"/>
      <c r="AA363" s="5"/>
      <c r="AB363" s="5"/>
      <c r="AC363" s="1111"/>
      <c r="AD363" s="1111"/>
      <c r="AE363" s="1111"/>
      <c r="AF363" s="1111"/>
      <c r="BE363" t="s">
        <v>116</v>
      </c>
    </row>
    <row r="364" spans="1:57" ht="12.95" customHeight="1">
      <c r="E364" s="5" t="s">
        <v>626</v>
      </c>
      <c r="F364" s="5"/>
      <c r="G364" s="5"/>
      <c r="H364" s="5"/>
      <c r="I364" s="5"/>
      <c r="J364" s="5"/>
      <c r="K364" s="5"/>
      <c r="L364" s="5"/>
      <c r="N364" s="1111"/>
      <c r="O364" s="1111"/>
      <c r="P364" s="1111"/>
      <c r="Q364" s="1111"/>
      <c r="R364" s="5"/>
      <c r="U364" s="5" t="s">
        <v>627</v>
      </c>
      <c r="V364" s="5"/>
      <c r="W364" s="5"/>
      <c r="X364" s="5"/>
      <c r="Y364" s="5"/>
      <c r="Z364" s="5"/>
      <c r="AA364" s="5"/>
      <c r="AB364" s="5"/>
      <c r="AC364" s="1111"/>
      <c r="AD364" s="1111"/>
      <c r="AE364" s="1111"/>
      <c r="AF364" s="1111"/>
    </row>
    <row r="365" spans="1:57" ht="12.95" customHeight="1">
      <c r="E365" s="5" t="s">
        <v>68</v>
      </c>
      <c r="F365" s="5"/>
      <c r="G365" s="5"/>
      <c r="H365" s="5"/>
      <c r="I365" s="5"/>
      <c r="J365" s="5"/>
      <c r="K365" s="5"/>
      <c r="L365" s="5"/>
      <c r="N365" s="1111"/>
      <c r="O365" s="1111"/>
      <c r="P365" s="1111"/>
      <c r="Q365" s="1111"/>
      <c r="R365" s="5"/>
      <c r="V365" s="5"/>
      <c r="W365" s="5"/>
      <c r="X365" s="5"/>
      <c r="Y365" s="5"/>
      <c r="Z365" s="5"/>
      <c r="AA365" s="5"/>
      <c r="AB365" s="5"/>
    </row>
    <row r="366" spans="1:57" ht="12.95"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2.95"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113"/>
      <c r="T370" s="1113"/>
      <c r="U370" s="374" t="s">
        <v>246</v>
      </c>
      <c r="V370" s="1113"/>
      <c r="W370" s="1113"/>
      <c r="X370" s="365"/>
      <c r="Z370" s="365"/>
      <c r="AA370" s="947" t="s">
        <v>2221</v>
      </c>
      <c r="AB370" s="365" t="s">
        <v>245</v>
      </c>
      <c r="AC370" s="365"/>
      <c r="AD370" s="1113"/>
      <c r="AE370" s="1113"/>
      <c r="AF370" s="374" t="s">
        <v>246</v>
      </c>
      <c r="AG370" s="1113"/>
      <c r="AH370" s="1113"/>
    </row>
    <row r="371" spans="1:36" ht="12.95" customHeight="1">
      <c r="D371" s="365"/>
      <c r="E371" s="365" t="s">
        <v>1286</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132</v>
      </c>
      <c r="AH372" s="1112"/>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132</v>
      </c>
      <c r="AH373" s="1112"/>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12" t="s">
        <v>132</v>
      </c>
      <c r="W374" s="1112"/>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2" t="s">
        <v>132</v>
      </c>
      <c r="W375" s="1112"/>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4"/>
      <c r="K378" s="1084"/>
      <c r="L378" s="1084"/>
      <c r="M378" s="1084"/>
      <c r="N378" s="1084"/>
      <c r="O378" s="1084"/>
      <c r="P378" s="1084"/>
      <c r="Q378" s="1084"/>
      <c r="R378" s="1084"/>
      <c r="S378" s="1084"/>
      <c r="T378" s="1084"/>
      <c r="U378" s="1084"/>
      <c r="V378" s="12" t="s">
        <v>744</v>
      </c>
      <c r="W378" s="12"/>
      <c r="X378" s="12"/>
      <c r="Y378" s="12"/>
      <c r="Z378" s="12"/>
      <c r="AA378" s="12"/>
      <c r="AB378" s="12"/>
      <c r="AC378" s="1084"/>
      <c r="AD378" s="1084"/>
      <c r="AE378" s="1084"/>
      <c r="AF378" s="1084"/>
      <c r="AG378" s="1084"/>
      <c r="AH378" s="1084"/>
      <c r="AI378" s="1084"/>
      <c r="AJ378" s="1084"/>
    </row>
    <row r="379" spans="1:36" ht="12.95" customHeight="1">
      <c r="D379" s="41" t="s">
        <v>2058</v>
      </c>
      <c r="J379" s="1085"/>
      <c r="K379" s="1085"/>
      <c r="L379" s="1085"/>
      <c r="M379" s="1085"/>
      <c r="N379" s="1085"/>
      <c r="O379" s="1085"/>
      <c r="P379" s="1085"/>
      <c r="Q379" s="1085"/>
      <c r="R379" s="1085"/>
      <c r="S379" s="1085"/>
      <c r="T379" s="1085"/>
      <c r="U379" s="1085"/>
      <c r="V379" s="41" t="s">
        <v>2058</v>
      </c>
      <c r="W379" s="12"/>
      <c r="X379" s="12"/>
      <c r="Y379" s="12"/>
      <c r="Z379" s="12"/>
      <c r="AA379" s="12"/>
      <c r="AB379" s="12"/>
      <c r="AC379" s="1084"/>
      <c r="AD379" s="1084"/>
      <c r="AE379" s="1084"/>
      <c r="AF379" s="1084"/>
      <c r="AG379" s="1084"/>
      <c r="AH379" s="1084"/>
      <c r="AI379" s="1084"/>
      <c r="AJ379" s="1084"/>
    </row>
    <row r="380" spans="1:36" ht="12.95" customHeight="1">
      <c r="D380" s="41" t="s">
        <v>574</v>
      </c>
      <c r="J380" s="1085"/>
      <c r="K380" s="1085"/>
      <c r="L380" s="1085"/>
      <c r="M380" s="1085"/>
      <c r="N380" s="1085"/>
      <c r="O380" s="1085"/>
      <c r="P380" s="1085"/>
      <c r="Q380" s="1085"/>
      <c r="R380" s="1085"/>
      <c r="S380" s="1085"/>
      <c r="T380" s="1085"/>
      <c r="U380" s="1085"/>
      <c r="V380" s="41" t="s">
        <v>574</v>
      </c>
      <c r="W380" s="12"/>
      <c r="X380" s="12"/>
      <c r="Y380" s="12"/>
      <c r="Z380" s="12"/>
      <c r="AA380" s="12"/>
      <c r="AB380" s="12"/>
      <c r="AC380" s="1084"/>
      <c r="AD380" s="1084"/>
      <c r="AE380" s="1084"/>
      <c r="AF380" s="1084"/>
      <c r="AG380" s="1084"/>
      <c r="AH380" s="1084"/>
      <c r="AI380" s="1084"/>
      <c r="AJ380" s="1084"/>
    </row>
    <row r="381" spans="1:36" ht="12.95" customHeight="1">
      <c r="D381" t="s">
        <v>2059</v>
      </c>
      <c r="J381" s="1099"/>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5" customHeight="1">
      <c r="D382" t="s">
        <v>583</v>
      </c>
      <c r="Q382" s="1407"/>
      <c r="R382" s="1407"/>
      <c r="S382" s="1407"/>
      <c r="T382" s="1407"/>
      <c r="U382" s="1407"/>
      <c r="V382" t="s">
        <v>179</v>
      </c>
      <c r="AI382" s="1109" t="s">
        <v>510</v>
      </c>
      <c r="AJ382" s="1109"/>
    </row>
    <row r="383" spans="1:36" ht="12.95" customHeight="1">
      <c r="D383" t="s">
        <v>584</v>
      </c>
      <c r="Q383" s="1203"/>
      <c r="R383" s="1307"/>
      <c r="S383" s="1307"/>
      <c r="T383" s="1307"/>
      <c r="U383" s="1307"/>
      <c r="W383" s="29" t="s">
        <v>20</v>
      </c>
      <c r="AG383" s="1131"/>
      <c r="AH383" s="1131"/>
      <c r="AI383" s="1131"/>
      <c r="AJ383" s="1131"/>
    </row>
    <row r="384" spans="1:36" ht="12.95" customHeight="1">
      <c r="D384" t="s">
        <v>288</v>
      </c>
      <c r="Q384" s="1114"/>
      <c r="R384" s="1114"/>
      <c r="S384" s="1114"/>
      <c r="T384" s="1114"/>
      <c r="U384" s="1114"/>
      <c r="V384" s="41" t="s">
        <v>2060</v>
      </c>
      <c r="AG384" s="1244"/>
      <c r="AH384" s="1244"/>
      <c r="AI384" s="1244"/>
      <c r="AJ384" s="1244"/>
    </row>
    <row r="385" spans="4:36" ht="12.95" customHeight="1">
      <c r="D385" t="s">
        <v>399</v>
      </c>
      <c r="I385" s="1128"/>
      <c r="J385" s="1128"/>
      <c r="K385" s="1128"/>
      <c r="L385" s="1128"/>
      <c r="M385" s="1128"/>
      <c r="N385" s="1128"/>
      <c r="Q385" s="41" t="s">
        <v>857</v>
      </c>
      <c r="S385" s="1129"/>
      <c r="T385" s="1129"/>
      <c r="U385" s="1129"/>
      <c r="V385" t="s">
        <v>19</v>
      </c>
      <c r="AI385" s="1109" t="s">
        <v>510</v>
      </c>
      <c r="AJ385" s="1109"/>
    </row>
    <row r="386" spans="4:36" ht="12.95" customHeight="1">
      <c r="D386" t="s">
        <v>180</v>
      </c>
      <c r="Q386" s="1130"/>
      <c r="R386" s="1130"/>
      <c r="S386" s="1130"/>
      <c r="T386" s="1130"/>
      <c r="U386" s="1130"/>
      <c r="V386" t="s">
        <v>181</v>
      </c>
      <c r="AG386" s="1131"/>
      <c r="AH386" s="1131"/>
      <c r="AI386" s="1131"/>
      <c r="AJ386" s="1131"/>
    </row>
    <row r="387" spans="4:36" ht="12.95" customHeight="1">
      <c r="D387" t="s">
        <v>28</v>
      </c>
      <c r="Q387" s="1426"/>
      <c r="R387" s="1426"/>
      <c r="S387" s="1426"/>
      <c r="T387" s="1426"/>
      <c r="U387" s="1426"/>
      <c r="V387" t="s">
        <v>1752</v>
      </c>
      <c r="AG387" s="1131"/>
      <c r="AH387" s="1131"/>
      <c r="AI387" s="1131"/>
      <c r="AJ387" s="1131"/>
    </row>
    <row r="388" spans="4:36" ht="12.95" customHeight="1">
      <c r="D388" t="s">
        <v>2061</v>
      </c>
      <c r="AG388" s="1131"/>
      <c r="AH388" s="1131"/>
      <c r="AI388" s="1131"/>
      <c r="AJ388" s="1131"/>
    </row>
    <row r="389" spans="4:36" ht="12.95" customHeight="1">
      <c r="AG389" s="839"/>
      <c r="AH389" s="839"/>
      <c r="AI389" s="839"/>
      <c r="AJ389" s="839"/>
    </row>
    <row r="390" spans="4:36" ht="12.95" customHeight="1">
      <c r="D390" s="41" t="s">
        <v>2327</v>
      </c>
      <c r="AG390" s="839"/>
      <c r="AH390" s="839"/>
      <c r="AI390" s="1109" t="s">
        <v>510</v>
      </c>
      <c r="AJ390" s="1109"/>
    </row>
    <row r="391" spans="4:36" ht="12.95" customHeight="1">
      <c r="D391" s="41" t="s">
        <v>2062</v>
      </c>
      <c r="T391" s="1427"/>
      <c r="U391" s="1427"/>
      <c r="V391" s="1427"/>
      <c r="W391" s="1427"/>
      <c r="X391" s="1427"/>
      <c r="Y391" s="1427"/>
      <c r="Z391" s="1427"/>
      <c r="AA391" s="1427"/>
      <c r="AB391" s="1427"/>
      <c r="AC391" s="1427"/>
      <c r="AD391" s="1427"/>
      <c r="AE391" s="1427"/>
      <c r="AF391" s="1427"/>
      <c r="AG391" s="1427"/>
      <c r="AH391" s="1427"/>
      <c r="AI391" s="1427"/>
      <c r="AJ391" s="1427"/>
    </row>
    <row r="392" spans="4:36" ht="12.95" customHeight="1">
      <c r="D392" s="41" t="s">
        <v>2063</v>
      </c>
      <c r="T392" s="1427"/>
      <c r="U392" s="1427"/>
      <c r="V392" s="1427"/>
      <c r="W392" s="1427"/>
      <c r="X392" s="1427"/>
      <c r="Y392" s="1427"/>
      <c r="Z392" s="1427"/>
      <c r="AA392" s="1427"/>
      <c r="AB392" s="1427"/>
      <c r="AC392" s="1427"/>
      <c r="AD392" s="1427"/>
      <c r="AE392" s="1427"/>
      <c r="AF392" s="1427"/>
      <c r="AG392" s="1427"/>
      <c r="AH392" s="1427"/>
      <c r="AI392" s="1427"/>
      <c r="AJ392" s="1427"/>
    </row>
    <row r="393" spans="4:36" ht="12.95" customHeight="1">
      <c r="AG393" s="839"/>
      <c r="AH393" s="839"/>
      <c r="AI393" s="839"/>
      <c r="AJ393" s="839"/>
    </row>
    <row r="394" spans="4:36" ht="12.95" customHeight="1">
      <c r="D394" s="41" t="s">
        <v>2064</v>
      </c>
      <c r="S394" s="1427" t="s">
        <v>116</v>
      </c>
      <c r="T394" s="1427"/>
      <c r="U394" s="1427"/>
      <c r="V394" t="s">
        <v>2065</v>
      </c>
      <c r="AG394" s="1459">
        <v>99</v>
      </c>
      <c r="AH394" s="1459"/>
      <c r="AI394" s="1459"/>
      <c r="AJ394" s="1459"/>
    </row>
    <row r="395" spans="4:36" ht="12.95" customHeight="1">
      <c r="D395" s="41" t="s">
        <v>2066</v>
      </c>
      <c r="S395" s="1427" t="s">
        <v>116</v>
      </c>
      <c r="T395" s="1427"/>
      <c r="U395" s="1427"/>
      <c r="V395" t="s">
        <v>2067</v>
      </c>
      <c r="AE395" s="1428">
        <v>1</v>
      </c>
      <c r="AF395" s="1428"/>
      <c r="AG395" s="1428"/>
      <c r="AH395" s="1428"/>
      <c r="AI395" s="1428"/>
      <c r="AJ395" s="1428"/>
    </row>
    <row r="396" spans="4:36" ht="12.95" customHeight="1">
      <c r="D396" s="41" t="s">
        <v>2068</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5" customHeight="1">
      <c r="D397" s="41" t="s">
        <v>2069</v>
      </c>
      <c r="K397" s="1290" t="s">
        <v>2495</v>
      </c>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5" customHeight="1">
      <c r="D398" s="41" t="s">
        <v>2070</v>
      </c>
      <c r="E398" s="820"/>
      <c r="F398" s="820"/>
      <c r="G398" s="820"/>
      <c r="H398" s="820"/>
      <c r="I398" s="820"/>
      <c r="J398" s="820"/>
      <c r="K398" s="820"/>
      <c r="L398" s="820"/>
      <c r="M398" s="820"/>
      <c r="N398" s="820"/>
      <c r="O398" s="820"/>
      <c r="P398" s="820"/>
      <c r="Q398" s="820"/>
      <c r="R398" s="820"/>
      <c r="S398" s="1408" t="s">
        <v>2496</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D399" s="972" t="s">
        <v>2072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130</v>
      </c>
      <c r="B402" s="3"/>
      <c r="C402" s="3" t="s">
        <v>941</v>
      </c>
    </row>
    <row r="403" spans="1:36" ht="12.95" customHeight="1">
      <c r="D403" s="3" t="s">
        <v>1806</v>
      </c>
      <c r="I403" s="1135" t="s">
        <v>2425</v>
      </c>
      <c r="J403" s="1135"/>
      <c r="K403" s="1135"/>
      <c r="L403" s="1135"/>
      <c r="M403" s="1135"/>
      <c r="N403" s="1135"/>
      <c r="O403" s="1135"/>
      <c r="P403" s="1135"/>
      <c r="Q403" s="1135"/>
      <c r="R403" s="1135"/>
      <c r="S403" s="1135"/>
      <c r="T403" s="1135"/>
      <c r="U403" s="1135"/>
      <c r="V403" s="1135"/>
      <c r="W403" s="1135"/>
      <c r="X403" s="1135"/>
      <c r="Y403" s="1135"/>
      <c r="Z403" s="1135"/>
      <c r="AA403" s="1135"/>
      <c r="AB403" s="1135"/>
      <c r="AC403" s="1135"/>
      <c r="AD403" s="1135"/>
    </row>
    <row r="404" spans="1:36" ht="12.95" customHeight="1">
      <c r="E404" t="s">
        <v>894</v>
      </c>
      <c r="R404" s="1109" t="s">
        <v>116</v>
      </c>
      <c r="S404" s="1109"/>
      <c r="T404" t="s">
        <v>305</v>
      </c>
      <c r="AD404" s="1111">
        <v>4</v>
      </c>
      <c r="AE404" s="1111"/>
    </row>
    <row r="405" spans="1:36" ht="12.95" customHeight="1">
      <c r="E405" t="s">
        <v>895</v>
      </c>
      <c r="R405" s="1109" t="s">
        <v>132</v>
      </c>
      <c r="S405" s="1109"/>
      <c r="T405" t="s">
        <v>305</v>
      </c>
      <c r="AD405" s="1111">
        <v>0</v>
      </c>
      <c r="AE405" s="1111"/>
    </row>
    <row r="406" spans="1:36" ht="12.95" customHeight="1">
      <c r="E406" t="s">
        <v>896</v>
      </c>
      <c r="S406" s="1109" t="s">
        <v>132</v>
      </c>
      <c r="T406" s="1109"/>
    </row>
    <row r="407" spans="1:36" ht="12.95" customHeight="1">
      <c r="E407" t="s">
        <v>297</v>
      </c>
      <c r="H407" s="1464" t="s">
        <v>591</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2.95"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2.95" customHeight="1"/>
    <row r="410" spans="1:36" ht="12.95" customHeight="1">
      <c r="A410" s="3" t="s">
        <v>131</v>
      </c>
      <c r="B410" s="3"/>
      <c r="C410" s="3"/>
      <c r="D410" s="3" t="s">
        <v>944</v>
      </c>
      <c r="AE410" s="5"/>
      <c r="AF410" s="3" t="s">
        <v>1264</v>
      </c>
    </row>
    <row r="411" spans="1:36" ht="12.95" customHeight="1">
      <c r="E411" s="1466"/>
      <c r="F411" s="1466"/>
      <c r="G411" s="1466"/>
      <c r="H411" s="18" t="s">
        <v>945</v>
      </c>
      <c r="I411" s="1466"/>
      <c r="J411" s="1466"/>
      <c r="K411" s="1466"/>
      <c r="L411" t="s">
        <v>946</v>
      </c>
      <c r="N411" s="34" t="s">
        <v>890</v>
      </c>
      <c r="P411" s="1467">
        <v>1.26</v>
      </c>
      <c r="Q411" s="1467"/>
      <c r="R411" s="1467"/>
      <c r="S411" t="s">
        <v>947</v>
      </c>
      <c r="W411" s="1468">
        <f>IF(E411&gt;0,(E411*I411),(P411*43560))</f>
        <v>54885.599999999999</v>
      </c>
      <c r="X411" s="1468"/>
      <c r="Y411" s="1468"/>
      <c r="Z411" t="s">
        <v>948</v>
      </c>
      <c r="AF411" s="1478">
        <f>IF(P411&gt;0,(AG430/P411),(AG430/(W411/43560)))</f>
        <v>46.825396825396822</v>
      </c>
      <c r="AG411" s="1478"/>
      <c r="AH411" s="1478"/>
    </row>
    <row r="412" spans="1:36" ht="12.95" customHeight="1">
      <c r="E412" t="s">
        <v>215</v>
      </c>
    </row>
    <row r="413" spans="1:36" ht="12.95"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2.95" customHeight="1">
      <c r="E414" s="270" t="s">
        <v>2073</v>
      </c>
      <c r="F414" s="29"/>
      <c r="G414" s="29"/>
      <c r="H414" s="29"/>
      <c r="I414" s="1454">
        <f>P411</f>
        <v>1.26</v>
      </c>
      <c r="J414" s="1454"/>
      <c r="K414" s="1454"/>
      <c r="L414" s="29"/>
      <c r="M414" s="270"/>
      <c r="N414" s="29"/>
      <c r="O414" s="29"/>
      <c r="P414" s="1477">
        <f>(CQ615+CS620+CQ634)/I414</f>
        <v>46.825396825396822</v>
      </c>
      <c r="Q414" s="1477"/>
      <c r="R414" s="1477"/>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109">
        <v>1</v>
      </c>
      <c r="Q417" s="1109"/>
      <c r="S417" t="s">
        <v>144</v>
      </c>
      <c r="AE417" s="1109">
        <v>1</v>
      </c>
      <c r="AF417" s="1109"/>
    </row>
    <row r="418" spans="1:36" ht="12.95" customHeight="1">
      <c r="E418" t="s">
        <v>145</v>
      </c>
      <c r="P418" s="1109">
        <v>0</v>
      </c>
      <c r="Q418" s="1109"/>
      <c r="S418" t="s">
        <v>760</v>
      </c>
      <c r="AE418" s="1109" t="s">
        <v>132</v>
      </c>
      <c r="AF418" s="1109"/>
    </row>
    <row r="419" spans="1:36" ht="12.95" customHeight="1">
      <c r="F419" s="36" t="s">
        <v>235</v>
      </c>
    </row>
    <row r="420" spans="1:36" ht="12.95" customHeight="1">
      <c r="F420" s="1394"/>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2.95"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2.95" customHeight="1">
      <c r="E422" t="s">
        <v>897</v>
      </c>
      <c r="P422" s="1"/>
      <c r="Q422" s="1109" t="s">
        <v>116</v>
      </c>
      <c r="R422" s="1109"/>
      <c r="AE422" s="1"/>
      <c r="AF422" s="1"/>
    </row>
    <row r="423" spans="1:36" ht="12.95" customHeight="1">
      <c r="F423" t="s">
        <v>898</v>
      </c>
      <c r="P423" s="1"/>
      <c r="Q423" s="1"/>
      <c r="AE423" s="1109" t="s">
        <v>132</v>
      </c>
      <c r="AF423" s="1294"/>
    </row>
    <row r="424" spans="1:36" ht="12.95" customHeight="1"/>
    <row r="425" spans="1:36" ht="12.95" customHeight="1">
      <c r="A425" s="3"/>
      <c r="B425" s="3"/>
      <c r="C425" s="3"/>
      <c r="E425" s="5" t="s">
        <v>85</v>
      </c>
      <c r="Z425" s="1109" t="s">
        <v>510</v>
      </c>
      <c r="AA425" s="110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09" t="s">
        <v>132</v>
      </c>
      <c r="AA427" s="1109"/>
    </row>
    <row r="428" spans="1:36" ht="12.95" customHeight="1"/>
    <row r="429" spans="1:36" ht="12.95" customHeight="1">
      <c r="A429" s="3" t="s">
        <v>391</v>
      </c>
      <c r="B429" s="3"/>
      <c r="C429" s="3"/>
      <c r="D429" s="3" t="s">
        <v>183</v>
      </c>
      <c r="AF429" s="54"/>
    </row>
    <row r="430" spans="1:36" ht="12.95"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7"/>
      <c r="AG430" s="1420">
        <v>59</v>
      </c>
      <c r="AH430" s="1420"/>
      <c r="AI430" s="1420"/>
      <c r="AJ430" s="1420"/>
    </row>
    <row r="431" spans="1:36" ht="12.95" customHeight="1">
      <c r="D431" s="1389" t="s">
        <v>1430</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2">
        <v>0</v>
      </c>
      <c r="AH431" s="1463"/>
      <c r="AI431" s="1463"/>
      <c r="AJ431" s="1463"/>
    </row>
    <row r="432" spans="1:36" ht="12.95" customHeight="1">
      <c r="D432" s="1389" t="s">
        <v>1431</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20">
        <v>58</v>
      </c>
      <c r="AH432" s="1420"/>
      <c r="AI432" s="1420"/>
      <c r="AJ432" s="1420"/>
    </row>
    <row r="433" spans="4:36" ht="12.95" customHeight="1">
      <c r="D433" s="1389" t="s">
        <v>1427</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20">
        <v>58</v>
      </c>
      <c r="AH433" s="1420"/>
      <c r="AI433" s="1420"/>
      <c r="AJ433" s="1420"/>
    </row>
    <row r="434" spans="4:36" ht="12.95" customHeight="1">
      <c r="D434" s="1389" t="s">
        <v>1432</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1">
        <f>IF(ISERROR(AG433/AG432),"",AG433/AG432)</f>
        <v>1</v>
      </c>
      <c r="AH434" s="1421"/>
      <c r="AI434" s="1421"/>
      <c r="AJ434" s="1421"/>
    </row>
    <row r="435" spans="4:36" ht="12.95" customHeight="1">
      <c r="D435" s="1389" t="s">
        <v>1429</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9">
        <v>33996</v>
      </c>
      <c r="AH435" s="1429"/>
      <c r="AI435" s="1429"/>
      <c r="AJ435" s="1429"/>
    </row>
    <row r="436" spans="4:36" ht="12.95" customHeight="1">
      <c r="D436" s="1389" t="s">
        <v>1428</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9">
        <f>AG435</f>
        <v>33996</v>
      </c>
      <c r="AH436" s="1429"/>
      <c r="AI436" s="1429"/>
      <c r="AJ436" s="1429"/>
    </row>
    <row r="437" spans="4:36" ht="12.95" customHeight="1">
      <c r="D437" s="1389" t="s">
        <v>1435</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1">
        <f>IF(ISERROR(AG436/AG435),"",AG436/AG435)</f>
        <v>1</v>
      </c>
      <c r="AH437" s="1421"/>
      <c r="AI437" s="1421"/>
      <c r="AJ437" s="1421"/>
    </row>
    <row r="438" spans="4:36" ht="12.95" customHeight="1">
      <c r="D438" s="1389" t="s">
        <v>1433</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1">
        <f>MIN(IF(AG434&gt;AG437,AG437,AG434),1)</f>
        <v>1</v>
      </c>
      <c r="AH438" s="1421"/>
      <c r="AI438" s="1421"/>
      <c r="AJ438" s="1421"/>
    </row>
    <row r="439" spans="4:36" ht="12.95" customHeight="1">
      <c r="D439" s="1473" t="s">
        <v>2228</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7"/>
      <c r="AG439" s="1429">
        <v>4926</v>
      </c>
      <c r="AH439" s="1429"/>
      <c r="AI439" s="1429"/>
      <c r="AJ439" s="1429"/>
    </row>
    <row r="440" spans="4:36" ht="12.95"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9">
        <v>0</v>
      </c>
      <c r="AH440" s="1429"/>
      <c r="AI440" s="1429"/>
      <c r="AJ440" s="1429"/>
    </row>
    <row r="441" spans="4:36" ht="12.95" customHeight="1">
      <c r="D441" s="1473" t="s">
        <v>1807</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9">
        <v>5592</v>
      </c>
      <c r="AH441" s="1429"/>
      <c r="AI441" s="1429"/>
      <c r="AJ441" s="1429"/>
    </row>
    <row r="442" spans="4:36" ht="12.95" customHeight="1">
      <c r="D442" s="1389" t="s">
        <v>1434</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9">
        <v>0</v>
      </c>
      <c r="AH442" s="1429"/>
      <c r="AI442" s="1429"/>
      <c r="AJ442" s="1429"/>
    </row>
    <row r="443" spans="4:36" ht="12.95" customHeight="1">
      <c r="D443" s="1389" t="s">
        <v>1436</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3">
        <f>AG435+AG439+AG441+AG442</f>
        <v>44514</v>
      </c>
      <c r="AH443" s="1453"/>
      <c r="AI443" s="1453"/>
      <c r="AJ443" s="1453"/>
    </row>
    <row r="444" spans="4:36" ht="12.95" customHeight="1">
      <c r="D444" s="1455" t="s">
        <v>1808</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2.95"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2.95"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'Sources and Uses Budget'!B104/Application!AG430</f>
        <v>641824.48085361335</v>
      </c>
      <c r="AD447" s="1432"/>
      <c r="AE447" s="1432"/>
      <c r="AF447" s="1432"/>
      <c r="AG447" s="1418"/>
      <c r="AH447" s="1418"/>
      <c r="AI447" s="1418"/>
      <c r="AJ447" s="1418"/>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'Sources and Uses Budget'!C104/Application!AG430</f>
        <v>641824.48085361335</v>
      </c>
      <c r="AD448" s="1432"/>
      <c r="AE448" s="1432"/>
      <c r="AF448" s="1432"/>
      <c r="AG448" s="1418"/>
      <c r="AH448" s="1418"/>
      <c r="AI448" s="1418"/>
      <c r="AJ448" s="1418"/>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('Sources and Uses Budget'!S106+'Sources and Uses Budget'!T106)/Application!AG430</f>
        <v>566487.55840077763</v>
      </c>
      <c r="AD449" s="1432"/>
      <c r="AE449" s="1432"/>
      <c r="AF449" s="143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9" t="s">
        <v>2201</v>
      </c>
      <c r="E458" s="1410"/>
      <c r="F458" s="1410"/>
      <c r="G458" s="1410"/>
      <c r="H458" s="1410"/>
      <c r="I458" s="1410"/>
      <c r="J458" s="1410"/>
      <c r="K458" s="1410"/>
      <c r="L458" s="1410"/>
      <c r="M458" s="1410"/>
      <c r="N458" s="1410"/>
      <c r="O458" s="1410"/>
      <c r="P458" s="1410"/>
      <c r="Q458" s="1410"/>
      <c r="R458" s="1410"/>
      <c r="S458" s="1410"/>
      <c r="T458" s="1410"/>
      <c r="U458" s="1410"/>
      <c r="V458" s="1411"/>
      <c r="W458" s="1382">
        <v>0</v>
      </c>
      <c r="X458" s="1383"/>
      <c r="Y458" s="1384"/>
      <c r="Z458" s="311"/>
      <c r="AA458" s="311"/>
      <c r="AB458" s="311"/>
      <c r="AC458" s="311"/>
      <c r="AD458" s="311"/>
      <c r="AE458" s="311"/>
      <c r="AF458" s="311"/>
      <c r="AG458" s="311"/>
      <c r="AH458" s="311"/>
      <c r="AI458" s="311"/>
      <c r="AJ458" s="41"/>
      <c r="AK458" s="41"/>
      <c r="AL458" s="41"/>
    </row>
    <row r="459" spans="1:38" ht="12.95" customHeight="1">
      <c r="A459" s="41"/>
      <c r="B459" s="41"/>
      <c r="C459" s="41"/>
      <c r="D459" s="1409" t="s">
        <v>227</v>
      </c>
      <c r="E459" s="1410"/>
      <c r="F459" s="1410"/>
      <c r="G459" s="1410"/>
      <c r="H459" s="1410"/>
      <c r="I459" s="1410"/>
      <c r="J459" s="1410"/>
      <c r="K459" s="1410"/>
      <c r="L459" s="1410"/>
      <c r="M459" s="1410"/>
      <c r="N459" s="1410"/>
      <c r="O459" s="1410"/>
      <c r="P459" s="1410"/>
      <c r="Q459" s="1410"/>
      <c r="R459" s="1410"/>
      <c r="S459" s="1410"/>
      <c r="T459" s="1410"/>
      <c r="U459" s="1410"/>
      <c r="V459" s="1411"/>
      <c r="W459" s="1382">
        <v>0</v>
      </c>
      <c r="X459" s="1383"/>
      <c r="Y459" s="1384"/>
      <c r="Z459" s="311"/>
      <c r="AA459" s="311"/>
      <c r="AB459" s="311"/>
      <c r="AC459" s="311"/>
      <c r="AD459" s="311"/>
      <c r="AE459" s="311"/>
      <c r="AF459" s="311"/>
      <c r="AG459" s="311"/>
      <c r="AH459" s="311"/>
      <c r="AI459" s="311"/>
      <c r="AJ459" s="41"/>
      <c r="AK459" s="41"/>
      <c r="AL459" s="41"/>
    </row>
    <row r="460" spans="1:38" ht="12.95" customHeight="1">
      <c r="A460" s="41"/>
      <c r="B460" s="41"/>
      <c r="C460" s="41"/>
      <c r="D460" s="1409" t="s">
        <v>228</v>
      </c>
      <c r="E460" s="1410"/>
      <c r="F460" s="1410"/>
      <c r="G460" s="1410"/>
      <c r="H460" s="1410"/>
      <c r="I460" s="1410"/>
      <c r="J460" s="1410"/>
      <c r="K460" s="1410"/>
      <c r="L460" s="1410"/>
      <c r="M460" s="1410"/>
      <c r="N460" s="1410"/>
      <c r="O460" s="1410"/>
      <c r="P460" s="1410"/>
      <c r="Q460" s="1410"/>
      <c r="R460" s="1410"/>
      <c r="S460" s="1410"/>
      <c r="T460" s="1410"/>
      <c r="U460" s="1410"/>
      <c r="V460" s="1411"/>
      <c r="W460" s="1382">
        <v>0</v>
      </c>
      <c r="X460" s="1383"/>
      <c r="Y460" s="1384"/>
      <c r="Z460" s="311"/>
      <c r="AA460" s="311"/>
      <c r="AB460" s="311"/>
      <c r="AC460" s="311"/>
      <c r="AD460" s="311"/>
      <c r="AE460" s="311"/>
      <c r="AF460" s="311"/>
      <c r="AG460" s="311"/>
      <c r="AH460" s="311"/>
      <c r="AI460" s="311"/>
      <c r="AJ460" s="41"/>
      <c r="AK460" s="41"/>
      <c r="AL460" s="41"/>
    </row>
    <row r="461" spans="1:38" ht="12.95" customHeight="1">
      <c r="A461" s="41"/>
      <c r="B461" s="41"/>
      <c r="C461" s="41"/>
      <c r="D461" s="1409" t="s">
        <v>230</v>
      </c>
      <c r="E461" s="1410"/>
      <c r="F461" s="1410"/>
      <c r="G461" s="1410"/>
      <c r="H461" s="1410"/>
      <c r="I461" s="1410"/>
      <c r="J461" s="1410"/>
      <c r="K461" s="1410"/>
      <c r="L461" s="1410"/>
      <c r="M461" s="1410"/>
      <c r="N461" s="1410"/>
      <c r="O461" s="1410"/>
      <c r="P461" s="1410"/>
      <c r="Q461" s="1410"/>
      <c r="R461" s="1410"/>
      <c r="S461" s="1410"/>
      <c r="T461" s="1410"/>
      <c r="U461" s="1410"/>
      <c r="V461" s="1411"/>
      <c r="W461" s="1382">
        <v>0</v>
      </c>
      <c r="X461" s="1383"/>
      <c r="Y461" s="1384"/>
      <c r="Z461" s="311"/>
      <c r="AA461" s="311"/>
      <c r="AB461" s="311"/>
      <c r="AC461" s="311"/>
      <c r="AD461" s="311"/>
      <c r="AE461" s="311"/>
      <c r="AF461" s="311"/>
      <c r="AG461" s="311"/>
      <c r="AH461" s="311"/>
      <c r="AI461" s="311"/>
      <c r="AJ461" s="41"/>
      <c r="AK461" s="41"/>
      <c r="AL461" s="41"/>
    </row>
    <row r="462" spans="1:38" ht="12.95" customHeight="1">
      <c r="A462" s="41"/>
      <c r="B462" s="41"/>
      <c r="C462" s="41"/>
      <c r="D462" s="1419" t="s">
        <v>1154</v>
      </c>
      <c r="E462" s="1410"/>
      <c r="F462" s="1410"/>
      <c r="G462" s="1410"/>
      <c r="H462" s="1410"/>
      <c r="I462" s="1410"/>
      <c r="J462" s="1410"/>
      <c r="K462" s="1410"/>
      <c r="L462" s="1410"/>
      <c r="M462" s="1410"/>
      <c r="N462" s="1410"/>
      <c r="O462" s="1410"/>
      <c r="P462" s="1410"/>
      <c r="Q462" s="1410"/>
      <c r="R462" s="1410"/>
      <c r="S462" s="1410"/>
      <c r="T462" s="1410"/>
      <c r="U462" s="1410"/>
      <c r="V462" s="1411"/>
      <c r="W462" s="1382">
        <v>0</v>
      </c>
      <c r="X462" s="1383"/>
      <c r="Y462" s="1384"/>
      <c r="Z462" s="311"/>
      <c r="AA462" s="311"/>
      <c r="AB462" s="311"/>
      <c r="AC462" s="311"/>
      <c r="AD462" s="311"/>
      <c r="AE462" s="311"/>
      <c r="AF462" s="311"/>
      <c r="AG462" s="311"/>
      <c r="AH462" s="311"/>
      <c r="AI462" s="311"/>
      <c r="AJ462" s="41"/>
      <c r="AK462" s="41"/>
      <c r="AL462" s="41"/>
    </row>
    <row r="463" spans="1:38" ht="12.95" customHeight="1">
      <c r="A463" s="41"/>
      <c r="B463" s="41"/>
      <c r="C463" s="41"/>
      <c r="D463" s="1409" t="s">
        <v>234</v>
      </c>
      <c r="E463" s="1410"/>
      <c r="F463" s="1410"/>
      <c r="G463" s="1410"/>
      <c r="H463" s="1410"/>
      <c r="I463" s="1410"/>
      <c r="J463" s="1410"/>
      <c r="K463" s="1410"/>
      <c r="L463" s="1410"/>
      <c r="M463" s="1410"/>
      <c r="N463" s="1410"/>
      <c r="O463" s="1410"/>
      <c r="P463" s="1410"/>
      <c r="Q463" s="1410"/>
      <c r="R463" s="1410"/>
      <c r="S463" s="1410"/>
      <c r="T463" s="1410"/>
      <c r="U463" s="1410"/>
      <c r="V463" s="1411"/>
      <c r="W463" s="1382">
        <v>0</v>
      </c>
      <c r="X463" s="1383"/>
      <c r="Y463" s="1384"/>
      <c r="Z463" s="311"/>
      <c r="AA463" s="311"/>
      <c r="AB463" s="311"/>
      <c r="AC463" s="311"/>
      <c r="AD463" s="311"/>
      <c r="AE463" s="311"/>
      <c r="AF463" s="311"/>
      <c r="AG463" s="311"/>
      <c r="AH463" s="311"/>
      <c r="AI463" s="311"/>
      <c r="AJ463" s="41"/>
      <c r="AK463" s="41"/>
      <c r="AL463" s="41"/>
    </row>
    <row r="464" spans="1:38" ht="12.95" customHeight="1">
      <c r="A464" s="564"/>
      <c r="B464" s="564"/>
      <c r="C464" s="564"/>
      <c r="D464" s="1419" t="s">
        <v>1359</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5"/>
      <c r="AA464" s="565"/>
      <c r="AB464" s="565"/>
      <c r="AC464" s="565"/>
      <c r="AD464" s="566"/>
      <c r="AE464" s="566"/>
      <c r="AF464" s="566"/>
      <c r="AG464" s="566"/>
      <c r="AH464" s="566"/>
      <c r="AI464" s="566"/>
      <c r="AJ464" s="366"/>
    </row>
    <row r="465" spans="1:97" ht="12.95" customHeight="1">
      <c r="A465" s="41"/>
      <c r="B465" s="41"/>
      <c r="C465" s="41"/>
      <c r="D465" s="1409" t="s">
        <v>2346</v>
      </c>
      <c r="E465" s="1460"/>
      <c r="F465" s="1460"/>
      <c r="G465" s="1460"/>
      <c r="H465" s="1460"/>
      <c r="I465" s="1460"/>
      <c r="J465" s="1460"/>
      <c r="K465" s="1460"/>
      <c r="L465" s="1460"/>
      <c r="M465" s="1460"/>
      <c r="N465" s="1460"/>
      <c r="O465" s="1460"/>
      <c r="P465" s="1460"/>
      <c r="Q465" s="1460"/>
      <c r="R465" s="1460"/>
      <c r="S465" s="1460"/>
      <c r="T465" s="1460"/>
      <c r="U465" s="1460"/>
      <c r="V465" s="1461"/>
      <c r="W465" s="1423">
        <v>0</v>
      </c>
      <c r="X465" s="1424"/>
      <c r="Y465" s="142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70"/>
      <c r="H466" s="1471"/>
      <c r="I466" s="1471"/>
      <c r="J466" s="1471"/>
      <c r="K466" s="1471"/>
      <c r="L466" s="1471"/>
      <c r="M466" s="1471"/>
      <c r="N466" s="1471"/>
      <c r="O466" s="1471"/>
      <c r="P466" s="1471"/>
      <c r="Q466" s="1471"/>
      <c r="R466" s="1471"/>
      <c r="S466" s="1471"/>
      <c r="T466" s="1471"/>
      <c r="U466" s="1471"/>
      <c r="V466" s="1472"/>
      <c r="W466" s="1382">
        <v>0</v>
      </c>
      <c r="X466" s="1383"/>
      <c r="Y466" s="1384"/>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2" t="s">
        <v>1071</v>
      </c>
      <c r="B473" s="1282"/>
      <c r="C473" s="1282"/>
      <c r="D473" s="1282"/>
      <c r="E473" s="1282"/>
      <c r="F473" s="1282"/>
      <c r="G473" s="1282"/>
      <c r="H473" s="1282"/>
      <c r="I473" s="1282"/>
      <c r="J473" s="1282"/>
      <c r="K473" s="1282"/>
      <c r="L473" s="1282"/>
      <c r="M473" s="1282"/>
      <c r="N473" s="1282"/>
      <c r="O473" s="1282"/>
      <c r="P473" s="1282"/>
      <c r="Q473" s="1282"/>
      <c r="R473" s="1282"/>
      <c r="S473" s="1282"/>
      <c r="T473" s="1282"/>
      <c r="U473" s="1282"/>
      <c r="V473" s="1282"/>
      <c r="W473" s="1282"/>
      <c r="X473" s="1282"/>
      <c r="Y473" s="1282"/>
      <c r="Z473" s="1282"/>
      <c r="AA473" s="1282"/>
      <c r="AB473" s="1282"/>
      <c r="AC473" s="1282"/>
      <c r="AD473" s="1282"/>
      <c r="AE473" s="1282"/>
      <c r="AF473" s="1282"/>
      <c r="AG473" s="1282"/>
      <c r="AH473" s="1282"/>
      <c r="AI473" s="1282"/>
      <c r="AJ473" s="1282"/>
      <c r="AK473" s="1282"/>
      <c r="AL473" s="128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3"/>
      <c r="B474" s="1283"/>
      <c r="C474" s="1283"/>
      <c r="D474" s="1283"/>
      <c r="E474" s="1283"/>
      <c r="F474" s="1283"/>
      <c r="G474" s="1283"/>
      <c r="H474" s="1283"/>
      <c r="I474" s="1283"/>
      <c r="J474" s="1283"/>
      <c r="K474" s="1283"/>
      <c r="L474" s="1283"/>
      <c r="M474" s="1283"/>
      <c r="N474" s="1283"/>
      <c r="O474" s="1283"/>
      <c r="P474" s="1283"/>
      <c r="Q474" s="1283"/>
      <c r="R474" s="1283"/>
      <c r="S474" s="1283"/>
      <c r="T474" s="1283"/>
      <c r="U474" s="1283"/>
      <c r="V474" s="1283"/>
      <c r="W474" s="1283"/>
      <c r="X474" s="1283"/>
      <c r="Y474" s="1283"/>
      <c r="Z474" s="1283"/>
      <c r="AA474" s="1283"/>
      <c r="AB474" s="1283"/>
      <c r="AC474" s="1283"/>
      <c r="AD474" s="1283"/>
      <c r="AE474" s="1283"/>
      <c r="AF474" s="1283"/>
      <c r="AG474" s="1283"/>
      <c r="AH474" s="1283"/>
      <c r="AI474" s="1283"/>
      <c r="AJ474" s="1283"/>
      <c r="AK474" s="1283"/>
      <c r="AL474" s="128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2" t="s">
        <v>2497</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2" t="s">
        <v>2498</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2" t="s">
        <v>2499</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2" t="s">
        <v>256</v>
      </c>
      <c r="C482" s="1413"/>
      <c r="D482" s="1413"/>
      <c r="E482" s="1413"/>
      <c r="F482" s="1413"/>
      <c r="G482" s="1413"/>
      <c r="H482" s="1413"/>
      <c r="I482" s="1413"/>
      <c r="J482" s="1413"/>
      <c r="K482" s="1413"/>
      <c r="L482" s="1413"/>
      <c r="M482" s="1413"/>
      <c r="N482" s="1413"/>
      <c r="O482" s="1413"/>
      <c r="P482" s="1414"/>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89" t="s">
        <v>510</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2" t="s">
        <v>2500</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2" t="s">
        <v>2501</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162">
        <v>30</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049"/>
      <c r="N488" s="1050"/>
      <c r="O488" s="1050"/>
      <c r="P488" s="1051"/>
      <c r="Q488" s="214" t="s">
        <v>2078</v>
      </c>
      <c r="R488" s="9"/>
      <c r="S488" s="9"/>
      <c r="T488" s="9"/>
      <c r="U488" s="9"/>
      <c r="V488" s="9"/>
      <c r="W488" s="9"/>
      <c r="X488" s="9"/>
      <c r="Y488" s="9"/>
      <c r="Z488" s="9"/>
      <c r="AA488" s="9"/>
      <c r="AB488" s="9"/>
      <c r="AC488" s="9"/>
      <c r="AD488" s="9"/>
      <c r="AE488" s="9"/>
      <c r="AF488" s="9"/>
      <c r="AG488" s="9"/>
      <c r="AH488" s="1049">
        <v>30</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264</v>
      </c>
      <c r="C494" s="1071"/>
      <c r="D494" s="1071"/>
      <c r="E494" s="1071"/>
      <c r="F494" s="1071"/>
      <c r="G494" s="1071"/>
      <c r="H494" s="1072"/>
      <c r="I494" s="7" t="s">
        <v>705</v>
      </c>
      <c r="J494" s="7"/>
      <c r="K494" s="7"/>
      <c r="L494" s="7"/>
      <c r="M494" s="7"/>
      <c r="N494" s="7"/>
      <c r="O494" s="7"/>
      <c r="P494" s="7"/>
      <c r="Q494" s="7"/>
      <c r="R494" s="7"/>
      <c r="S494" s="7"/>
      <c r="T494" s="7"/>
      <c r="U494" s="7"/>
      <c r="V494" s="7"/>
      <c r="W494" s="7"/>
      <c r="AC494" s="1385">
        <v>2</v>
      </c>
      <c r="AD494" s="1111"/>
      <c r="AE494" s="1111"/>
      <c r="AF494" s="1111"/>
      <c r="AG494" s="18" t="s">
        <v>262</v>
      </c>
      <c r="AH494" s="1099">
        <v>2022</v>
      </c>
      <c r="AI494" s="1099"/>
      <c r="AJ494" s="1099"/>
      <c r="AK494" s="116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706</v>
      </c>
      <c r="J495" s="54"/>
      <c r="K495" s="54"/>
      <c r="L495" s="54"/>
      <c r="M495" s="54"/>
      <c r="N495" s="54"/>
      <c r="O495" s="54"/>
      <c r="P495" s="54"/>
      <c r="Q495" s="54"/>
      <c r="R495" s="54"/>
      <c r="S495" s="54"/>
      <c r="T495" s="54"/>
      <c r="U495" s="54"/>
      <c r="V495" s="54"/>
      <c r="W495" s="54"/>
      <c r="X495" s="54"/>
      <c r="Y495" s="54"/>
      <c r="Z495" s="54"/>
      <c r="AA495" s="54"/>
      <c r="AB495" s="54"/>
      <c r="AC495" s="1385">
        <v>12</v>
      </c>
      <c r="AD495" s="1111"/>
      <c r="AE495" s="1111"/>
      <c r="AF495" s="1111"/>
      <c r="AG495" s="47" t="s">
        <v>262</v>
      </c>
      <c r="AH495" s="1099">
        <v>2021</v>
      </c>
      <c r="AI495" s="1099"/>
      <c r="AJ495" s="1099"/>
      <c r="AK495" s="11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707</v>
      </c>
      <c r="C496" s="1071"/>
      <c r="D496" s="1071"/>
      <c r="E496" s="1071"/>
      <c r="F496" s="1071"/>
      <c r="G496" s="1071"/>
      <c r="H496" s="1072"/>
      <c r="I496" s="7" t="s">
        <v>708</v>
      </c>
      <c r="J496" s="7"/>
      <c r="K496" s="7"/>
      <c r="L496" s="7"/>
      <c r="M496" s="7"/>
      <c r="N496" s="7"/>
      <c r="O496" s="7"/>
      <c r="P496" s="7"/>
      <c r="Q496" s="7"/>
      <c r="R496" s="7"/>
      <c r="S496" s="7"/>
      <c r="T496" s="7"/>
      <c r="U496" s="7"/>
      <c r="V496" s="7"/>
      <c r="W496" s="7"/>
      <c r="AC496" s="1385" t="s">
        <v>132</v>
      </c>
      <c r="AD496" s="1111"/>
      <c r="AE496" s="1111"/>
      <c r="AF496" s="1111"/>
      <c r="AG496" s="18" t="s">
        <v>262</v>
      </c>
      <c r="AH496" s="1099"/>
      <c r="AI496" s="1099"/>
      <c r="AJ496" s="1099"/>
      <c r="AK496" s="11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709</v>
      </c>
      <c r="AC497" s="1385" t="s">
        <v>132</v>
      </c>
      <c r="AD497" s="1111"/>
      <c r="AE497" s="1111"/>
      <c r="AF497" s="1111"/>
      <c r="AG497" s="18" t="s">
        <v>262</v>
      </c>
      <c r="AH497" s="1099"/>
      <c r="AI497" s="1099"/>
      <c r="AJ497" s="1099"/>
      <c r="AK497" s="116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710</v>
      </c>
      <c r="AC498" s="1385" t="s">
        <v>132</v>
      </c>
      <c r="AD498" s="1111"/>
      <c r="AE498" s="1111"/>
      <c r="AF498" s="1111"/>
      <c r="AG498" s="18" t="s">
        <v>262</v>
      </c>
      <c r="AH498" s="1099"/>
      <c r="AI498" s="1099"/>
      <c r="AJ498" s="1099"/>
      <c r="AK498" s="116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711</v>
      </c>
      <c r="AC499" s="1385">
        <v>10</v>
      </c>
      <c r="AD499" s="1111"/>
      <c r="AE499" s="1111"/>
      <c r="AF499" s="1111"/>
      <c r="AG499" s="18" t="s">
        <v>262</v>
      </c>
      <c r="AH499" s="1099">
        <v>2023</v>
      </c>
      <c r="AI499" s="1099"/>
      <c r="AJ499" s="1099"/>
      <c r="AK499" s="11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712</v>
      </c>
      <c r="AC500" s="1220">
        <v>10</v>
      </c>
      <c r="AD500" s="1221"/>
      <c r="AE500" s="1221"/>
      <c r="AF500" s="1221"/>
      <c r="AG500" s="18" t="s">
        <v>262</v>
      </c>
      <c r="AH500" s="1099">
        <v>2023</v>
      </c>
      <c r="AI500" s="1099"/>
      <c r="AJ500" s="1099"/>
      <c r="AK500" s="116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297</v>
      </c>
      <c r="J501" s="54"/>
      <c r="K501" s="54"/>
      <c r="L501" s="1430" t="s">
        <v>2502</v>
      </c>
      <c r="M501" s="1427"/>
      <c r="N501" s="1427"/>
      <c r="O501" s="1427"/>
      <c r="P501" s="1427"/>
      <c r="Q501" s="1427"/>
      <c r="R501" s="1427"/>
      <c r="S501" s="1427"/>
      <c r="T501" s="1427"/>
      <c r="U501" s="1427"/>
      <c r="V501" s="1427"/>
      <c r="W501" s="1427"/>
      <c r="X501" s="1427"/>
      <c r="Y501" s="1427"/>
      <c r="Z501" s="1427"/>
      <c r="AA501" s="1427"/>
      <c r="AB501" s="1469"/>
      <c r="AC501" s="1431">
        <v>10</v>
      </c>
      <c r="AD501" s="1289"/>
      <c r="AE501" s="1289"/>
      <c r="AF501" s="1289"/>
      <c r="AG501" s="47" t="s">
        <v>262</v>
      </c>
      <c r="AH501" s="1099">
        <v>2023</v>
      </c>
      <c r="AI501" s="1099"/>
      <c r="AJ501" s="1099"/>
      <c r="AK501" s="116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2079</v>
      </c>
      <c r="AC502" s="1397" t="s">
        <v>116</v>
      </c>
      <c r="AD502" s="1397"/>
      <c r="AE502" s="1397"/>
      <c r="AF502" s="1397"/>
      <c r="AG502" s="18"/>
      <c r="AH502" s="1017"/>
      <c r="AI502" s="1017"/>
      <c r="AJ502" s="1017"/>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2080</v>
      </c>
      <c r="AC503" s="1220">
        <v>2</v>
      </c>
      <c r="AD503" s="1221"/>
      <c r="AE503" s="1221"/>
      <c r="AF503" s="1222"/>
      <c r="AG503" s="18"/>
      <c r="AH503" s="1017"/>
      <c r="AI503" s="1017"/>
      <c r="AJ503" s="1017"/>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2082</v>
      </c>
      <c r="J505" s="54"/>
      <c r="K505" s="54"/>
      <c r="L505" s="54"/>
      <c r="M505" s="54"/>
      <c r="N505" s="54"/>
      <c r="O505" s="54"/>
      <c r="P505" s="54"/>
      <c r="Q505" s="54"/>
      <c r="R505" s="54"/>
      <c r="S505" s="54"/>
      <c r="T505" s="54"/>
      <c r="U505" s="54"/>
      <c r="V505" s="54"/>
      <c r="W505" s="54"/>
      <c r="X505" s="54"/>
      <c r="Y505" s="54"/>
      <c r="Z505" s="54"/>
      <c r="AA505" s="54"/>
      <c r="AB505" s="54"/>
      <c r="AC505" s="1474"/>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713</v>
      </c>
      <c r="C506" s="1071"/>
      <c r="D506" s="1071"/>
      <c r="E506" s="1071"/>
      <c r="F506" s="1071"/>
      <c r="G506" s="1071"/>
      <c r="H506" s="1072"/>
      <c r="I506" s="7" t="s">
        <v>714</v>
      </c>
      <c r="J506" s="7"/>
      <c r="K506" s="7"/>
      <c r="L506" s="7"/>
      <c r="M506" s="7"/>
      <c r="N506" s="7"/>
      <c r="O506" s="7"/>
      <c r="P506" s="7"/>
      <c r="Q506" s="7"/>
      <c r="R506" s="7"/>
      <c r="S506" s="7"/>
      <c r="T506" s="7"/>
      <c r="U506" s="7"/>
      <c r="V506" s="7"/>
      <c r="W506" s="7"/>
      <c r="AC506" s="1385">
        <v>7</v>
      </c>
      <c r="AD506" s="1111"/>
      <c r="AE506" s="1111"/>
      <c r="AF506" s="1111"/>
      <c r="AG506" s="18" t="s">
        <v>262</v>
      </c>
      <c r="AH506" s="1099">
        <v>2023</v>
      </c>
      <c r="AI506" s="1099"/>
      <c r="AJ506" s="1099"/>
      <c r="AK506" s="116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715</v>
      </c>
      <c r="AC507" s="1385">
        <v>7</v>
      </c>
      <c r="AD507" s="1111"/>
      <c r="AE507" s="1111"/>
      <c r="AF507" s="1111"/>
      <c r="AG507" s="18" t="s">
        <v>262</v>
      </c>
      <c r="AH507" s="1099">
        <v>2023</v>
      </c>
      <c r="AI507" s="1099"/>
      <c r="AJ507" s="1099"/>
      <c r="AK507" s="116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716</v>
      </c>
      <c r="J508" s="54"/>
      <c r="K508" s="54"/>
      <c r="L508" s="54"/>
      <c r="M508" s="54"/>
      <c r="N508" s="54"/>
      <c r="O508" s="54"/>
      <c r="P508" s="54"/>
      <c r="Q508" s="54"/>
      <c r="R508" s="54"/>
      <c r="S508" s="54"/>
      <c r="T508" s="54"/>
      <c r="U508" s="54"/>
      <c r="V508" s="54"/>
      <c r="W508" s="54"/>
      <c r="X508" s="54"/>
      <c r="Y508" s="54"/>
      <c r="Z508" s="54"/>
      <c r="AA508" s="54"/>
      <c r="AB508" s="54"/>
      <c r="AC508" s="1385">
        <v>6</v>
      </c>
      <c r="AD508" s="1111"/>
      <c r="AE508" s="1111"/>
      <c r="AF508" s="1111"/>
      <c r="AG508" s="47" t="s">
        <v>262</v>
      </c>
      <c r="AH508" s="1099">
        <v>2024</v>
      </c>
      <c r="AI508" s="1099"/>
      <c r="AJ508" s="1099"/>
      <c r="AK508" s="116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717</v>
      </c>
      <c r="C509" s="1071"/>
      <c r="D509" s="1071"/>
      <c r="E509" s="1071"/>
      <c r="F509" s="1071"/>
      <c r="G509" s="1071"/>
      <c r="H509" s="1072"/>
      <c r="I509" s="7" t="s">
        <v>714</v>
      </c>
      <c r="J509" s="7"/>
      <c r="K509" s="7"/>
      <c r="L509" s="7"/>
      <c r="M509" s="7"/>
      <c r="N509" s="7"/>
      <c r="O509" s="7"/>
      <c r="P509" s="7"/>
      <c r="Q509" s="7"/>
      <c r="R509" s="7"/>
      <c r="S509" s="7"/>
      <c r="T509" s="7"/>
      <c r="U509" s="7"/>
      <c r="V509" s="7"/>
      <c r="W509" s="7"/>
      <c r="X509" s="7"/>
      <c r="Y509" s="7"/>
      <c r="Z509" s="7"/>
      <c r="AA509" s="7"/>
      <c r="AB509" s="7"/>
      <c r="AC509" s="1273">
        <v>7</v>
      </c>
      <c r="AD509" s="1274"/>
      <c r="AE509" s="1274"/>
      <c r="AF509" s="1274"/>
      <c r="AG509" s="230" t="s">
        <v>262</v>
      </c>
      <c r="AH509" s="1099">
        <v>2023</v>
      </c>
      <c r="AI509" s="1099"/>
      <c r="AJ509" s="1099"/>
      <c r="AK509" s="116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715</v>
      </c>
      <c r="AC510" s="1385">
        <v>7</v>
      </c>
      <c r="AD510" s="1111"/>
      <c r="AE510" s="1111"/>
      <c r="AF510" s="1111"/>
      <c r="AG510" s="18" t="s">
        <v>262</v>
      </c>
      <c r="AH510" s="1099">
        <v>2023</v>
      </c>
      <c r="AI510" s="1099"/>
      <c r="AJ510" s="1099"/>
      <c r="AK510" s="116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716</v>
      </c>
      <c r="J511" s="54"/>
      <c r="K511" s="54"/>
      <c r="L511" s="54"/>
      <c r="M511" s="54"/>
      <c r="N511" s="54"/>
      <c r="O511" s="54"/>
      <c r="P511" s="54"/>
      <c r="Q511" s="54"/>
      <c r="R511" s="54"/>
      <c r="S511" s="54"/>
      <c r="T511" s="54"/>
      <c r="U511" s="54"/>
      <c r="V511" s="54"/>
      <c r="W511" s="54"/>
      <c r="X511" s="54"/>
      <c r="Y511" s="54"/>
      <c r="Z511" s="54"/>
      <c r="AA511" s="54"/>
      <c r="AB511" s="54"/>
      <c r="AC511" s="1385">
        <v>5</v>
      </c>
      <c r="AD511" s="1111"/>
      <c r="AE511" s="1111"/>
      <c r="AF511" s="1111"/>
      <c r="AG511" s="47" t="s">
        <v>262</v>
      </c>
      <c r="AH511" s="1099">
        <v>2024</v>
      </c>
      <c r="AI511" s="1099"/>
      <c r="AJ511" s="1099"/>
      <c r="AK511" s="116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718</v>
      </c>
      <c r="C512" s="1071"/>
      <c r="D512" s="1071"/>
      <c r="E512" s="1071"/>
      <c r="F512" s="1071"/>
      <c r="G512" s="1071"/>
      <c r="H512" s="1072"/>
      <c r="I512" s="6" t="s">
        <v>719</v>
      </c>
      <c r="J512" s="7"/>
      <c r="K512" s="7"/>
      <c r="L512" s="7"/>
      <c r="M512" s="7"/>
      <c r="N512" s="7"/>
      <c r="O512" s="1430" t="s">
        <v>2503</v>
      </c>
      <c r="P512" s="1427"/>
      <c r="Q512" s="1427"/>
      <c r="R512" s="1427"/>
      <c r="S512" s="1427"/>
      <c r="T512" s="1427"/>
      <c r="U512" s="1427"/>
      <c r="V512" s="1427"/>
      <c r="W512" s="1427"/>
      <c r="X512" s="1427"/>
      <c r="Y512" s="1427"/>
      <c r="Z512" s="1427"/>
      <c r="AA512" s="1427"/>
      <c r="AB512" s="64"/>
      <c r="AC512" s="1273" t="s">
        <v>132</v>
      </c>
      <c r="AD512" s="1274"/>
      <c r="AE512" s="1274"/>
      <c r="AF512" s="1274"/>
      <c r="AG512" s="230" t="s">
        <v>262</v>
      </c>
      <c r="AH512" s="1099"/>
      <c r="AI512" s="1099"/>
      <c r="AJ512" s="1099"/>
      <c r="AK512" s="116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720</v>
      </c>
      <c r="AB513" s="71"/>
      <c r="AC513" s="1385">
        <v>2</v>
      </c>
      <c r="AD513" s="1111"/>
      <c r="AE513" s="1111"/>
      <c r="AF513" s="1111"/>
      <c r="AG513" s="18" t="s">
        <v>262</v>
      </c>
      <c r="AH513" s="1099">
        <v>2022</v>
      </c>
      <c r="AI513" s="1099"/>
      <c r="AJ513" s="1099"/>
      <c r="AK513" s="116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721</v>
      </c>
      <c r="J514" s="54"/>
      <c r="K514" s="54"/>
      <c r="L514" s="54"/>
      <c r="M514" s="54"/>
      <c r="N514" s="54"/>
      <c r="O514" s="54"/>
      <c r="P514" s="54"/>
      <c r="Q514" s="54"/>
      <c r="R514" s="54"/>
      <c r="S514" s="54"/>
      <c r="T514" s="54"/>
      <c r="U514" s="54"/>
      <c r="V514" s="54"/>
      <c r="W514" s="54"/>
      <c r="X514" s="54"/>
      <c r="Y514" s="54"/>
      <c r="Z514" s="54"/>
      <c r="AA514" s="54"/>
      <c r="AB514" s="55"/>
      <c r="AC514" s="1385">
        <v>6</v>
      </c>
      <c r="AD514" s="1111"/>
      <c r="AE514" s="1111"/>
      <c r="AF514" s="1111"/>
      <c r="AG514" s="47" t="s">
        <v>262</v>
      </c>
      <c r="AH514" s="1099">
        <v>2022</v>
      </c>
      <c r="AI514" s="1099"/>
      <c r="AJ514" s="1099"/>
      <c r="AK514" s="1165"/>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722</v>
      </c>
      <c r="J515" s="7"/>
      <c r="K515" s="7"/>
      <c r="L515" s="7"/>
      <c r="M515" s="7"/>
      <c r="N515" s="7"/>
      <c r="O515" s="1430" t="s">
        <v>2504</v>
      </c>
      <c r="P515" s="1427"/>
      <c r="Q515" s="1427"/>
      <c r="R515" s="1427"/>
      <c r="S515" s="1427"/>
      <c r="T515" s="1427"/>
      <c r="U515" s="1427"/>
      <c r="V515" s="1427"/>
      <c r="W515" s="1427"/>
      <c r="X515" s="1427"/>
      <c r="Y515" s="1427"/>
      <c r="Z515" s="1427"/>
      <c r="AA515" s="1427"/>
      <c r="AC515" s="1385" t="s">
        <v>132</v>
      </c>
      <c r="AD515" s="1111"/>
      <c r="AE515" s="1111"/>
      <c r="AF515" s="1111"/>
      <c r="AG515" s="18" t="s">
        <v>262</v>
      </c>
      <c r="AH515" s="1099"/>
      <c r="AI515" s="1099"/>
      <c r="AJ515" s="1099"/>
      <c r="AK515" s="1165"/>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720</v>
      </c>
      <c r="AC516" s="1385">
        <v>5</v>
      </c>
      <c r="AD516" s="1111"/>
      <c r="AE516" s="1111"/>
      <c r="AF516" s="1111"/>
      <c r="AG516" s="18" t="s">
        <v>262</v>
      </c>
      <c r="AH516" s="1099">
        <v>2022</v>
      </c>
      <c r="AI516" s="1099"/>
      <c r="AJ516" s="1099"/>
      <c r="AK516" s="1165"/>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721</v>
      </c>
      <c r="J517" s="54"/>
      <c r="K517" s="54"/>
      <c r="L517" s="54"/>
      <c r="M517" s="54"/>
      <c r="N517" s="54"/>
      <c r="O517" s="54"/>
      <c r="P517" s="54"/>
      <c r="Q517" s="54"/>
      <c r="R517" s="54"/>
      <c r="S517" s="54"/>
      <c r="T517" s="54"/>
      <c r="U517" s="54"/>
      <c r="V517" s="54"/>
      <c r="W517" s="54"/>
      <c r="X517" s="54"/>
      <c r="Y517" s="54"/>
      <c r="Z517" s="54"/>
      <c r="AA517" s="54"/>
      <c r="AB517" s="54"/>
      <c r="AC517" s="1385">
        <v>6</v>
      </c>
      <c r="AD517" s="1111"/>
      <c r="AE517" s="1111"/>
      <c r="AF517" s="1111"/>
      <c r="AG517" s="47" t="s">
        <v>262</v>
      </c>
      <c r="AH517" s="1099">
        <v>2022</v>
      </c>
      <c r="AI517" s="1099"/>
      <c r="AJ517" s="1099"/>
      <c r="AK517" s="1165"/>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722</v>
      </c>
      <c r="J518" s="7"/>
      <c r="K518" s="7"/>
      <c r="L518" s="7"/>
      <c r="M518" s="7"/>
      <c r="N518" s="7"/>
      <c r="O518" s="1430" t="s">
        <v>2424</v>
      </c>
      <c r="P518" s="1427"/>
      <c r="Q518" s="1427"/>
      <c r="R518" s="1427"/>
      <c r="S518" s="1427"/>
      <c r="T518" s="1427"/>
      <c r="U518" s="1427"/>
      <c r="V518" s="1427"/>
      <c r="W518" s="1427"/>
      <c r="X518" s="1427"/>
      <c r="Y518" s="1427"/>
      <c r="Z518" s="1427"/>
      <c r="AA518" s="1427"/>
      <c r="AC518" s="1385" t="s">
        <v>132</v>
      </c>
      <c r="AD518" s="1111"/>
      <c r="AE518" s="1111"/>
      <c r="AF518" s="1111"/>
      <c r="AG518" s="18" t="s">
        <v>262</v>
      </c>
      <c r="AH518" s="1099"/>
      <c r="AI518" s="1099"/>
      <c r="AJ518" s="1099"/>
      <c r="AK518" s="1165"/>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720</v>
      </c>
      <c r="AC519" s="1385">
        <v>6</v>
      </c>
      <c r="AD519" s="1111"/>
      <c r="AE519" s="1111"/>
      <c r="AF519" s="1111"/>
      <c r="AG519" s="18" t="s">
        <v>262</v>
      </c>
      <c r="AH519" s="1099">
        <v>2021</v>
      </c>
      <c r="AI519" s="1099"/>
      <c r="AJ519" s="1099"/>
      <c r="AK519" s="1165"/>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721</v>
      </c>
      <c r="J520" s="54"/>
      <c r="K520" s="54"/>
      <c r="L520" s="54"/>
      <c r="M520" s="54"/>
      <c r="N520" s="54"/>
      <c r="O520" s="54"/>
      <c r="P520" s="54"/>
      <c r="Q520" s="54"/>
      <c r="R520" s="54"/>
      <c r="S520" s="54"/>
      <c r="T520" s="54"/>
      <c r="U520" s="54"/>
      <c r="V520" s="54"/>
      <c r="W520" s="54"/>
      <c r="X520" s="54"/>
      <c r="Y520" s="54"/>
      <c r="Z520" s="54"/>
      <c r="AA520" s="54"/>
      <c r="AB520" s="54"/>
      <c r="AC520" s="1385">
        <v>12</v>
      </c>
      <c r="AD520" s="1111"/>
      <c r="AE520" s="1111"/>
      <c r="AF520" s="1111"/>
      <c r="AG520" s="47" t="s">
        <v>262</v>
      </c>
      <c r="AH520" s="1099">
        <v>2021</v>
      </c>
      <c r="AI520" s="1099"/>
      <c r="AJ520" s="1099"/>
      <c r="AK520" s="1165"/>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722</v>
      </c>
      <c r="J521" s="7"/>
      <c r="K521" s="7"/>
      <c r="L521" s="7"/>
      <c r="M521" s="7"/>
      <c r="N521" s="7"/>
      <c r="O521" s="1430" t="s">
        <v>2524</v>
      </c>
      <c r="P521" s="1427"/>
      <c r="Q521" s="1427"/>
      <c r="R521" s="1427"/>
      <c r="S521" s="1427"/>
      <c r="T521" s="1427"/>
      <c r="U521" s="1427"/>
      <c r="V521" s="1427"/>
      <c r="W521" s="1427"/>
      <c r="X521" s="1427"/>
      <c r="Y521" s="1427"/>
      <c r="Z521" s="1427"/>
      <c r="AA521" s="1427"/>
      <c r="AC521" s="1385" t="s">
        <v>132</v>
      </c>
      <c r="AD521" s="1111"/>
      <c r="AE521" s="1111"/>
      <c r="AF521" s="1111"/>
      <c r="AG521" s="18" t="s">
        <v>262</v>
      </c>
      <c r="AH521" s="1099"/>
      <c r="AI521" s="1099"/>
      <c r="AJ521" s="1099"/>
      <c r="AK521" s="1165"/>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720</v>
      </c>
      <c r="AC522" s="1385">
        <v>2</v>
      </c>
      <c r="AD522" s="1111"/>
      <c r="AE522" s="1111"/>
      <c r="AF522" s="1111"/>
      <c r="AG522" s="18" t="s">
        <v>262</v>
      </c>
      <c r="AH522" s="1099">
        <v>2022</v>
      </c>
      <c r="AI522" s="1099"/>
      <c r="AJ522" s="1099"/>
      <c r="AK522" s="1165"/>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721</v>
      </c>
      <c r="J523" s="54"/>
      <c r="K523" s="54"/>
      <c r="L523" s="54"/>
      <c r="M523" s="54"/>
      <c r="N523" s="54"/>
      <c r="O523" s="54"/>
      <c r="P523" s="54"/>
      <c r="Q523" s="54"/>
      <c r="R523" s="54"/>
      <c r="S523" s="54"/>
      <c r="T523" s="54"/>
      <c r="U523" s="54"/>
      <c r="V523" s="54"/>
      <c r="W523" s="54"/>
      <c r="X523" s="54"/>
      <c r="Y523" s="54"/>
      <c r="Z523" s="54"/>
      <c r="AA523" s="54"/>
      <c r="AB523" s="54"/>
      <c r="AC523" s="1385">
        <v>6</v>
      </c>
      <c r="AD523" s="1111"/>
      <c r="AE523" s="1111"/>
      <c r="AF523" s="1111"/>
      <c r="AG523" s="47" t="s">
        <v>262</v>
      </c>
      <c r="AH523" s="1099">
        <v>2023</v>
      </c>
      <c r="AI523" s="1099"/>
      <c r="AJ523" s="1099"/>
      <c r="AK523" s="1165"/>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722</v>
      </c>
      <c r="J524" s="7"/>
      <c r="K524" s="7"/>
      <c r="L524" s="7"/>
      <c r="M524" s="7"/>
      <c r="N524" s="7"/>
      <c r="O524" s="1430" t="s">
        <v>318</v>
      </c>
      <c r="P524" s="1427"/>
      <c r="Q524" s="1427"/>
      <c r="R524" s="1427"/>
      <c r="S524" s="1427"/>
      <c r="T524" s="1427"/>
      <c r="U524" s="1427"/>
      <c r="V524" s="1427"/>
      <c r="W524" s="1427"/>
      <c r="X524" s="1427"/>
      <c r="Y524" s="1427"/>
      <c r="Z524" s="1427"/>
      <c r="AA524" s="1427"/>
      <c r="AC524" s="1385" t="s">
        <v>132</v>
      </c>
      <c r="AD524" s="1111"/>
      <c r="AE524" s="1111"/>
      <c r="AF524" s="1111"/>
      <c r="AG524" s="18" t="s">
        <v>262</v>
      </c>
      <c r="AH524" s="1099"/>
      <c r="AI524" s="1099"/>
      <c r="AJ524" s="1099"/>
      <c r="AK524" s="1165"/>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720</v>
      </c>
      <c r="AC525" s="1385">
        <v>10</v>
      </c>
      <c r="AD525" s="1111"/>
      <c r="AE525" s="1111"/>
      <c r="AF525" s="1111"/>
      <c r="AG525" s="47" t="s">
        <v>262</v>
      </c>
      <c r="AH525" s="1099">
        <v>2022</v>
      </c>
      <c r="AI525" s="1099"/>
      <c r="AJ525" s="1099"/>
      <c r="AK525" s="1165"/>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721</v>
      </c>
      <c r="J526" s="54"/>
      <c r="K526" s="54"/>
      <c r="L526" s="54"/>
      <c r="M526" s="54"/>
      <c r="N526" s="54"/>
      <c r="O526" s="54"/>
      <c r="P526" s="54"/>
      <c r="Q526" s="54"/>
      <c r="R526" s="54"/>
      <c r="S526" s="54"/>
      <c r="T526" s="54"/>
      <c r="U526" s="54"/>
      <c r="V526" s="54"/>
      <c r="W526" s="54"/>
      <c r="X526" s="54"/>
      <c r="Y526" s="54"/>
      <c r="Z526" s="54"/>
      <c r="AA526" s="54"/>
      <c r="AB526" s="54"/>
      <c r="AC526" s="1385">
        <v>6</v>
      </c>
      <c r="AD526" s="1111"/>
      <c r="AE526" s="1111"/>
      <c r="AF526" s="1111"/>
      <c r="AG526" s="18" t="s">
        <v>262</v>
      </c>
      <c r="AH526" s="1099">
        <v>2023</v>
      </c>
      <c r="AI526" s="1099"/>
      <c r="AJ526" s="1099"/>
      <c r="AK526" s="1165"/>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722</v>
      </c>
      <c r="J527" s="7"/>
      <c r="K527" s="7"/>
      <c r="L527" s="7"/>
      <c r="M527" s="7"/>
      <c r="N527" s="7"/>
      <c r="O527" s="1430" t="s">
        <v>591</v>
      </c>
      <c r="P527" s="1427"/>
      <c r="Q527" s="1427"/>
      <c r="R527" s="1427"/>
      <c r="S527" s="1427"/>
      <c r="T527" s="1427"/>
      <c r="U527" s="1427"/>
      <c r="V527" s="1427"/>
      <c r="W527" s="1427"/>
      <c r="X527" s="1427"/>
      <c r="Y527" s="1427"/>
      <c r="Z527" s="1427"/>
      <c r="AA527" s="1427"/>
      <c r="AC527" s="1385" t="s">
        <v>132</v>
      </c>
      <c r="AD527" s="1111"/>
      <c r="AE527" s="1111"/>
      <c r="AF527" s="1111"/>
      <c r="AG527" s="47" t="s">
        <v>262</v>
      </c>
      <c r="AH527" s="1099"/>
      <c r="AI527" s="1099"/>
      <c r="AJ527" s="1099"/>
      <c r="AK527" s="1165"/>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720</v>
      </c>
      <c r="AC528" s="1385" t="s">
        <v>132</v>
      </c>
      <c r="AD528" s="1111"/>
      <c r="AE528" s="1111"/>
      <c r="AF528" s="1111"/>
      <c r="AG528" s="18" t="s">
        <v>262</v>
      </c>
      <c r="AH528" s="1099"/>
      <c r="AI528" s="1099"/>
      <c r="AJ528" s="1099"/>
      <c r="AK528" s="1165"/>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721</v>
      </c>
      <c r="J529" s="54"/>
      <c r="K529" s="54"/>
      <c r="L529" s="54"/>
      <c r="M529" s="54"/>
      <c r="N529" s="54"/>
      <c r="O529" s="54"/>
      <c r="P529" s="54"/>
      <c r="Q529" s="54"/>
      <c r="R529" s="54"/>
      <c r="S529" s="54"/>
      <c r="T529" s="54"/>
      <c r="U529" s="54"/>
      <c r="V529" s="54"/>
      <c r="W529" s="54"/>
      <c r="X529" s="54"/>
      <c r="Y529" s="54"/>
      <c r="Z529" s="54"/>
      <c r="AA529" s="54"/>
      <c r="AB529" s="54"/>
      <c r="AC529" s="1385" t="s">
        <v>132</v>
      </c>
      <c r="AD529" s="1111"/>
      <c r="AE529" s="1111"/>
      <c r="AF529" s="1111"/>
      <c r="AG529" s="47" t="s">
        <v>262</v>
      </c>
      <c r="AH529" s="1099"/>
      <c r="AI529" s="1099"/>
      <c r="AJ529" s="1099"/>
      <c r="AK529" s="1165"/>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769</v>
      </c>
      <c r="J530" s="7"/>
      <c r="K530" s="7"/>
      <c r="L530" s="7"/>
      <c r="M530" s="7"/>
      <c r="N530" s="7"/>
      <c r="O530" s="7"/>
      <c r="P530" s="7"/>
      <c r="Q530" s="7"/>
      <c r="R530" s="7"/>
      <c r="S530" s="7"/>
      <c r="T530" s="7"/>
      <c r="U530" s="7"/>
      <c r="V530" s="7"/>
      <c r="W530" s="7"/>
      <c r="AC530" s="1385">
        <v>6</v>
      </c>
      <c r="AD530" s="1111"/>
      <c r="AE530" s="1111"/>
      <c r="AF530" s="1111"/>
      <c r="AG530" s="47" t="s">
        <v>262</v>
      </c>
      <c r="AH530" s="1099">
        <v>2024</v>
      </c>
      <c r="AI530" s="1099"/>
      <c r="AJ530" s="1099"/>
      <c r="AK530" s="1165"/>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770</v>
      </c>
      <c r="AC531" s="1385">
        <v>5</v>
      </c>
      <c r="AD531" s="1111"/>
      <c r="AE531" s="1111"/>
      <c r="AF531" s="1111"/>
      <c r="AG531" s="18" t="s">
        <v>262</v>
      </c>
      <c r="AH531" s="1099">
        <v>2024</v>
      </c>
      <c r="AI531" s="1099"/>
      <c r="AJ531" s="1099"/>
      <c r="AK531" s="1165"/>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771</v>
      </c>
      <c r="AC532" s="1385">
        <v>10</v>
      </c>
      <c r="AD532" s="1111"/>
      <c r="AE532" s="1111"/>
      <c r="AF532" s="1111"/>
      <c r="AG532" s="47" t="s">
        <v>262</v>
      </c>
      <c r="AH532" s="1099">
        <v>2025</v>
      </c>
      <c r="AI532" s="1099"/>
      <c r="AJ532" s="1099"/>
      <c r="AK532" s="1165"/>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772</v>
      </c>
      <c r="AC533" s="1385">
        <v>10</v>
      </c>
      <c r="AD533" s="1111"/>
      <c r="AE533" s="1111"/>
      <c r="AF533" s="1111"/>
      <c r="AG533" s="47" t="s">
        <v>262</v>
      </c>
      <c r="AH533" s="1099">
        <v>2025</v>
      </c>
      <c r="AI533" s="1099"/>
      <c r="AJ533" s="1099"/>
      <c r="AK533" s="1165"/>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1426</v>
      </c>
      <c r="J534" s="54"/>
      <c r="K534" s="54"/>
      <c r="L534" s="54"/>
      <c r="M534" s="54"/>
      <c r="N534" s="54"/>
      <c r="O534" s="54"/>
      <c r="P534" s="54"/>
      <c r="Q534" s="54"/>
      <c r="R534" s="54"/>
      <c r="S534" s="54"/>
      <c r="T534" s="54"/>
      <c r="U534" s="54"/>
      <c r="V534" s="54"/>
      <c r="W534" s="54"/>
      <c r="X534" s="54"/>
      <c r="Y534" s="54"/>
      <c r="Z534" s="54"/>
      <c r="AA534" s="54"/>
      <c r="AB534" s="54"/>
      <c r="AC534" s="1385">
        <v>12</v>
      </c>
      <c r="AD534" s="1111"/>
      <c r="AE534" s="1111"/>
      <c r="AF534" s="1111"/>
      <c r="AG534" s="47" t="s">
        <v>262</v>
      </c>
      <c r="AH534" s="1099">
        <v>2025</v>
      </c>
      <c r="AI534" s="1099"/>
      <c r="AJ534" s="1099"/>
      <c r="AK534" s="1165"/>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2311</v>
      </c>
      <c r="C543" s="1071"/>
      <c r="D543" s="1071"/>
      <c r="E543" s="1071"/>
      <c r="F543" s="1071"/>
      <c r="G543" s="1071"/>
      <c r="H543" s="1071"/>
      <c r="I543" s="1071"/>
      <c r="J543" s="1071"/>
      <c r="K543" s="1071"/>
      <c r="L543" s="1071"/>
      <c r="M543" s="1118" t="s">
        <v>2285</v>
      </c>
      <c r="N543" s="1118"/>
      <c r="O543" s="1118"/>
      <c r="P543" s="1118"/>
      <c r="Q543" s="1070" t="s">
        <v>468</v>
      </c>
      <c r="R543" s="1071"/>
      <c r="S543" s="1072"/>
      <c r="T543" s="1070" t="s">
        <v>2083</v>
      </c>
      <c r="U543" s="1071"/>
      <c r="V543" s="1072"/>
      <c r="W543" s="1070" t="s">
        <v>774</v>
      </c>
      <c r="X543" s="1071"/>
      <c r="Y543" s="1072"/>
      <c r="Z543" s="1070" t="s">
        <v>2085</v>
      </c>
      <c r="AA543" s="1071"/>
      <c r="AB543" s="1071"/>
      <c r="AC543" s="1071"/>
      <c r="AD543" s="1072"/>
      <c r="AE543" s="1070" t="s">
        <v>2084</v>
      </c>
      <c r="AF543" s="1071"/>
      <c r="AG543" s="1071"/>
      <c r="AH543" s="1072"/>
      <c r="AI543" s="1070" t="s">
        <v>2086</v>
      </c>
      <c r="AJ543" s="1071"/>
      <c r="AK543" s="1071"/>
      <c r="AL543" s="1072"/>
      <c r="AM543" s="1070" t="s">
        <v>775</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18"/>
      <c r="N544" s="1118"/>
      <c r="O544" s="1118"/>
      <c r="P544" s="1118"/>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18"/>
      <c r="N545" s="1118"/>
      <c r="O545" s="1118"/>
      <c r="P545" s="1118"/>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082" t="s">
        <v>2399</v>
      </c>
      <c r="D546" s="1082"/>
      <c r="E546" s="1082"/>
      <c r="F546" s="1082"/>
      <c r="G546" s="1082"/>
      <c r="H546" s="1082"/>
      <c r="I546" s="1082"/>
      <c r="J546" s="1082"/>
      <c r="K546" s="1082"/>
      <c r="L546" s="1082"/>
      <c r="M546" s="1083" t="s">
        <v>2295</v>
      </c>
      <c r="N546" s="1083"/>
      <c r="O546" s="1083"/>
      <c r="P546" s="1083"/>
      <c r="Q546" s="1087">
        <f>+[1]EVERYTHING!$C$22+[1]EVERYTHING!$E$22</f>
        <v>25</v>
      </c>
      <c r="R546" s="1087"/>
      <c r="S546" s="1088"/>
      <c r="T546" s="1086"/>
      <c r="U546" s="1087"/>
      <c r="V546" s="1088"/>
      <c r="W546" s="1436">
        <f>+[1]EVERYTHING!$D$21</f>
        <v>7.7499999999999999E-2</v>
      </c>
      <c r="X546" s="1437"/>
      <c r="Y546" s="1438"/>
      <c r="Z546" s="1439" t="s">
        <v>2400</v>
      </c>
      <c r="AA546" s="1439"/>
      <c r="AB546" s="1439"/>
      <c r="AC546" s="1439"/>
      <c r="AD546" s="1439"/>
      <c r="AE546" s="1440">
        <v>1</v>
      </c>
      <c r="AF546" s="1441"/>
      <c r="AG546" s="1441"/>
      <c r="AH546" s="1442"/>
      <c r="AI546" s="1433"/>
      <c r="AJ546" s="1434"/>
      <c r="AK546" s="1434"/>
      <c r="AL546" s="1435"/>
      <c r="AM546" s="1142">
        <f>+[1]EVERYTHING!$C$21</f>
        <v>21256549.729783703</v>
      </c>
      <c r="AN546" s="1143"/>
      <c r="AO546" s="1143"/>
      <c r="AP546" s="1143"/>
      <c r="AQ546" s="1143"/>
      <c r="AR546" s="1143"/>
      <c r="AS546" s="1144"/>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082" t="s">
        <v>2401</v>
      </c>
      <c r="D547" s="1082"/>
      <c r="E547" s="1082"/>
      <c r="F547" s="1082"/>
      <c r="G547" s="1082"/>
      <c r="H547" s="1082"/>
      <c r="I547" s="1082"/>
      <c r="J547" s="1082"/>
      <c r="K547" s="1082"/>
      <c r="L547" s="1082"/>
      <c r="M547" s="1083" t="s">
        <v>2297</v>
      </c>
      <c r="N547" s="1083"/>
      <c r="O547" s="1083"/>
      <c r="P547" s="1083"/>
      <c r="Q547" s="1086">
        <f>55*12</f>
        <v>660</v>
      </c>
      <c r="R547" s="1087"/>
      <c r="S547" s="1088"/>
      <c r="T547" s="1086"/>
      <c r="U547" s="1087"/>
      <c r="V547" s="1088"/>
      <c r="W547" s="1436">
        <v>0</v>
      </c>
      <c r="X547" s="1437"/>
      <c r="Y547" s="1438"/>
      <c r="Z547" s="1439" t="s">
        <v>2408</v>
      </c>
      <c r="AA547" s="1439"/>
      <c r="AB547" s="1439"/>
      <c r="AC547" s="1439"/>
      <c r="AD547" s="1439"/>
      <c r="AE547" s="1440">
        <v>2</v>
      </c>
      <c r="AF547" s="1441"/>
      <c r="AG547" s="1441"/>
      <c r="AH547" s="1442"/>
      <c r="AI547" s="1433"/>
      <c r="AJ547" s="1434"/>
      <c r="AK547" s="1434"/>
      <c r="AL547" s="1435"/>
      <c r="AM547" s="1142">
        <f>+[1]EVERYTHING!$C$9</f>
        <v>6000000</v>
      </c>
      <c r="AN547" s="1143"/>
      <c r="AO547" s="1143"/>
      <c r="AP547" s="1143"/>
      <c r="AQ547" s="1143"/>
      <c r="AR547" s="1143"/>
      <c r="AS547" s="1144"/>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082" t="s">
        <v>2402</v>
      </c>
      <c r="D548" s="1082"/>
      <c r="E548" s="1082"/>
      <c r="F548" s="1082"/>
      <c r="G548" s="1082"/>
      <c r="H548" s="1082"/>
      <c r="I548" s="1082"/>
      <c r="J548" s="1082"/>
      <c r="K548" s="1082"/>
      <c r="L548" s="1082"/>
      <c r="M548" s="1083" t="s">
        <v>2297</v>
      </c>
      <c r="N548" s="1083"/>
      <c r="O548" s="1083"/>
      <c r="P548" s="1083"/>
      <c r="Q548" s="1086">
        <f>55*12</f>
        <v>660</v>
      </c>
      <c r="R548" s="1087"/>
      <c r="S548" s="1088"/>
      <c r="T548" s="1086"/>
      <c r="U548" s="1087"/>
      <c r="V548" s="1088"/>
      <c r="W548" s="1436">
        <v>0.03</v>
      </c>
      <c r="X548" s="1437"/>
      <c r="Y548" s="1438"/>
      <c r="Z548" s="1439" t="s">
        <v>2408</v>
      </c>
      <c r="AA548" s="1439"/>
      <c r="AB548" s="1439"/>
      <c r="AC548" s="1439"/>
      <c r="AD548" s="1439"/>
      <c r="AE548" s="1440">
        <v>3</v>
      </c>
      <c r="AF548" s="1441"/>
      <c r="AG548" s="1441"/>
      <c r="AH548" s="1442"/>
      <c r="AI548" s="1433"/>
      <c r="AJ548" s="1434"/>
      <c r="AK548" s="1434"/>
      <c r="AL548" s="1435"/>
      <c r="AM548" s="1142">
        <f>+[1]EVERYTHING!$C$8</f>
        <v>1300000</v>
      </c>
      <c r="AN548" s="1143"/>
      <c r="AO548" s="1143"/>
      <c r="AP548" s="1143"/>
      <c r="AQ548" s="1143"/>
      <c r="AR548" s="1143"/>
      <c r="AS548" s="1144"/>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2" t="s">
        <v>2403</v>
      </c>
      <c r="D549" s="1082"/>
      <c r="E549" s="1082"/>
      <c r="F549" s="1082"/>
      <c r="G549" s="1082"/>
      <c r="H549" s="1082"/>
      <c r="I549" s="1082"/>
      <c r="J549" s="1082"/>
      <c r="K549" s="1082"/>
      <c r="L549" s="1082"/>
      <c r="M549" s="1083" t="s">
        <v>2297</v>
      </c>
      <c r="N549" s="1083"/>
      <c r="O549" s="1083"/>
      <c r="P549" s="1083"/>
      <c r="Q549" s="1086">
        <f>+Q548</f>
        <v>660</v>
      </c>
      <c r="R549" s="1087"/>
      <c r="S549" s="1088"/>
      <c r="T549" s="1086"/>
      <c r="U549" s="1087"/>
      <c r="V549" s="1088"/>
      <c r="W549" s="1436">
        <v>0.03</v>
      </c>
      <c r="X549" s="1437"/>
      <c r="Y549" s="1438"/>
      <c r="Z549" s="1439" t="s">
        <v>2408</v>
      </c>
      <c r="AA549" s="1439"/>
      <c r="AB549" s="1439"/>
      <c r="AC549" s="1439"/>
      <c r="AD549" s="1439"/>
      <c r="AE549" s="1440">
        <v>4</v>
      </c>
      <c r="AF549" s="1441"/>
      <c r="AG549" s="1441"/>
      <c r="AH549" s="1442"/>
      <c r="AI549" s="1433"/>
      <c r="AJ549" s="1434"/>
      <c r="AK549" s="1434"/>
      <c r="AL549" s="1435"/>
      <c r="AM549" s="1142">
        <f>+[1]EVERYTHING!$C$7</f>
        <v>3000000</v>
      </c>
      <c r="AN549" s="1143"/>
      <c r="AO549" s="1143"/>
      <c r="AP549" s="1143"/>
      <c r="AQ549" s="1143"/>
      <c r="AR549" s="1143"/>
      <c r="AS549" s="1144"/>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2" t="s">
        <v>2404</v>
      </c>
      <c r="D550" s="1082"/>
      <c r="E550" s="1082"/>
      <c r="F550" s="1082"/>
      <c r="G550" s="1082"/>
      <c r="H550" s="1082"/>
      <c r="I550" s="1082"/>
      <c r="J550" s="1082"/>
      <c r="K550" s="1082"/>
      <c r="L550" s="1082"/>
      <c r="M550" s="1083" t="s">
        <v>2310</v>
      </c>
      <c r="N550" s="1083"/>
      <c r="O550" s="1083"/>
      <c r="P550" s="1083"/>
      <c r="Q550" s="1086"/>
      <c r="R550" s="1087"/>
      <c r="S550" s="1088"/>
      <c r="T550" s="1086"/>
      <c r="U550" s="1087"/>
      <c r="V550" s="1088"/>
      <c r="W550" s="1436"/>
      <c r="X550" s="1437"/>
      <c r="Y550" s="1438"/>
      <c r="Z550" s="1439" t="s">
        <v>132</v>
      </c>
      <c r="AA550" s="1439"/>
      <c r="AB550" s="1439"/>
      <c r="AC550" s="1439"/>
      <c r="AD550" s="1439"/>
      <c r="AE550" s="1440"/>
      <c r="AF550" s="1441"/>
      <c r="AG550" s="1441"/>
      <c r="AH550" s="1442"/>
      <c r="AI550" s="1433"/>
      <c r="AJ550" s="1434"/>
      <c r="AK550" s="1434"/>
      <c r="AL550" s="1435"/>
      <c r="AM550" s="1142">
        <f>+[1]EVERYTHING!$C$12</f>
        <v>381640</v>
      </c>
      <c r="AN550" s="1143"/>
      <c r="AO550" s="1143"/>
      <c r="AP550" s="1143"/>
      <c r="AQ550" s="1143"/>
      <c r="AR550" s="1143"/>
      <c r="AS550" s="1144"/>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2" t="s">
        <v>2423</v>
      </c>
      <c r="D551" s="1082"/>
      <c r="E551" s="1082"/>
      <c r="F551" s="1082"/>
      <c r="G551" s="1082"/>
      <c r="H551" s="1082"/>
      <c r="I551" s="1082"/>
      <c r="J551" s="1082"/>
      <c r="K551" s="1082"/>
      <c r="L551" s="1082"/>
      <c r="M551" s="1083" t="s">
        <v>2308</v>
      </c>
      <c r="N551" s="1083"/>
      <c r="O551" s="1083"/>
      <c r="P551" s="1083"/>
      <c r="Q551" s="1086"/>
      <c r="R551" s="1087"/>
      <c r="S551" s="1088"/>
      <c r="T551" s="1086"/>
      <c r="U551" s="1087"/>
      <c r="V551" s="1088"/>
      <c r="W551" s="1436"/>
      <c r="X551" s="1437"/>
      <c r="Y551" s="1438"/>
      <c r="Z551" s="1439" t="s">
        <v>132</v>
      </c>
      <c r="AA551" s="1439"/>
      <c r="AB551" s="1439"/>
      <c r="AC551" s="1439"/>
      <c r="AD551" s="1439"/>
      <c r="AE551" s="1440"/>
      <c r="AF551" s="1441"/>
      <c r="AG551" s="1441"/>
      <c r="AH551" s="1442"/>
      <c r="AI551" s="1433"/>
      <c r="AJ551" s="1434"/>
      <c r="AK551" s="1434"/>
      <c r="AL551" s="1435"/>
      <c r="AM551" s="1142">
        <f>+[1]EVERYTHING!$C$11</f>
        <v>1424079</v>
      </c>
      <c r="AN551" s="1143"/>
      <c r="AO551" s="1143"/>
      <c r="AP551" s="1143"/>
      <c r="AQ551" s="1143"/>
      <c r="AR551" s="1143"/>
      <c r="AS551" s="1144"/>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082" t="s">
        <v>2532</v>
      </c>
      <c r="D552" s="1082"/>
      <c r="E552" s="1082"/>
      <c r="F552" s="1082"/>
      <c r="G552" s="1082"/>
      <c r="H552" s="1082"/>
      <c r="I552" s="1082"/>
      <c r="J552" s="1082"/>
      <c r="K552" s="1082"/>
      <c r="L552" s="1082"/>
      <c r="M552" s="1083" t="s">
        <v>2299</v>
      </c>
      <c r="N552" s="1083"/>
      <c r="O552" s="1083"/>
      <c r="P552" s="1083"/>
      <c r="Q552" s="1086">
        <f>+Q549</f>
        <v>660</v>
      </c>
      <c r="R552" s="1087"/>
      <c r="S552" s="1088"/>
      <c r="T552" s="1086"/>
      <c r="U552" s="1087"/>
      <c r="V552" s="1088"/>
      <c r="W552" s="1436">
        <v>0.03</v>
      </c>
      <c r="X552" s="1437"/>
      <c r="Y552" s="1438"/>
      <c r="Z552" s="1439" t="s">
        <v>2408</v>
      </c>
      <c r="AA552" s="1439"/>
      <c r="AB552" s="1439"/>
      <c r="AC552" s="1439"/>
      <c r="AD552" s="1439"/>
      <c r="AE552" s="1440">
        <v>5</v>
      </c>
      <c r="AF552" s="1441"/>
      <c r="AG552" s="1441"/>
      <c r="AH552" s="1442"/>
      <c r="AI552" s="1433"/>
      <c r="AJ552" s="1434"/>
      <c r="AK552" s="1434"/>
      <c r="AL552" s="1435"/>
      <c r="AM552" s="1142">
        <f>+[1]EVERYTHING!$C$13</f>
        <v>216780</v>
      </c>
      <c r="AN552" s="1143"/>
      <c r="AO552" s="1143"/>
      <c r="AP552" s="1143"/>
      <c r="AQ552" s="1143"/>
      <c r="AR552" s="1143"/>
      <c r="AS552" s="1144"/>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082" t="s">
        <v>2406</v>
      </c>
      <c r="D553" s="1082"/>
      <c r="E553" s="1082"/>
      <c r="F553" s="1082"/>
      <c r="G553" s="1082"/>
      <c r="H553" s="1082"/>
      <c r="I553" s="1082"/>
      <c r="J553" s="1082"/>
      <c r="K553" s="1082"/>
      <c r="L553" s="1082"/>
      <c r="M553" s="1083" t="s">
        <v>2291</v>
      </c>
      <c r="N553" s="1083"/>
      <c r="O553" s="1083"/>
      <c r="P553" s="1083"/>
      <c r="Q553" s="1086"/>
      <c r="R553" s="1087"/>
      <c r="S553" s="1088"/>
      <c r="T553" s="1086"/>
      <c r="U553" s="1087"/>
      <c r="V553" s="1088"/>
      <c r="W553" s="1436"/>
      <c r="X553" s="1437"/>
      <c r="Y553" s="1438"/>
      <c r="Z553" s="1439" t="s">
        <v>2071</v>
      </c>
      <c r="AA553" s="1439"/>
      <c r="AB553" s="1439"/>
      <c r="AC553" s="1439"/>
      <c r="AD553" s="1439"/>
      <c r="AE553" s="1440"/>
      <c r="AF553" s="1441"/>
      <c r="AG553" s="1441"/>
      <c r="AH553" s="1442"/>
      <c r="AI553" s="1433"/>
      <c r="AJ553" s="1434"/>
      <c r="AK553" s="1434"/>
      <c r="AL553" s="1435"/>
      <c r="AM553" s="1142">
        <f>+[1]EVERYTHING!$C$15</f>
        <v>100</v>
      </c>
      <c r="AN553" s="1143"/>
      <c r="AO553" s="1143"/>
      <c r="AP553" s="1143"/>
      <c r="AQ553" s="1143"/>
      <c r="AR553" s="1143"/>
      <c r="AS553" s="1144"/>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082" t="s">
        <v>2407</v>
      </c>
      <c r="D554" s="1082"/>
      <c r="E554" s="1082"/>
      <c r="F554" s="1082"/>
      <c r="G554" s="1082"/>
      <c r="H554" s="1082"/>
      <c r="I554" s="1082"/>
      <c r="J554" s="1082"/>
      <c r="K554" s="1082"/>
      <c r="L554" s="1082"/>
      <c r="M554" s="1083" t="s">
        <v>2292</v>
      </c>
      <c r="N554" s="1083"/>
      <c r="O554" s="1083"/>
      <c r="P554" s="1083"/>
      <c r="Q554" s="1086"/>
      <c r="R554" s="1087"/>
      <c r="S554" s="1088"/>
      <c r="T554" s="1086"/>
      <c r="U554" s="1087"/>
      <c r="V554" s="1088"/>
      <c r="W554" s="1436"/>
      <c r="X554" s="1437"/>
      <c r="Y554" s="1438"/>
      <c r="Z554" s="1439" t="s">
        <v>2071</v>
      </c>
      <c r="AA554" s="1439"/>
      <c r="AB554" s="1439"/>
      <c r="AC554" s="1439"/>
      <c r="AD554" s="1439"/>
      <c r="AE554" s="1440"/>
      <c r="AF554" s="1441"/>
      <c r="AG554" s="1441"/>
      <c r="AH554" s="1442"/>
      <c r="AI554" s="1433"/>
      <c r="AJ554" s="1434"/>
      <c r="AK554" s="1434"/>
      <c r="AL554" s="1435"/>
      <c r="AM554" s="1142">
        <f>+[1]EVERYTHING!$G$16</f>
        <v>2484986.0691509205</v>
      </c>
      <c r="AN554" s="1143"/>
      <c r="AO554" s="1143"/>
      <c r="AP554" s="1143"/>
      <c r="AQ554" s="1143"/>
      <c r="AR554" s="1143"/>
      <c r="AS554" s="1144"/>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2" t="s">
        <v>2531</v>
      </c>
      <c r="D555" s="1082"/>
      <c r="E555" s="1082"/>
      <c r="F555" s="1082"/>
      <c r="G555" s="1082"/>
      <c r="H555" s="1082"/>
      <c r="I555" s="1082"/>
      <c r="J555" s="1082"/>
      <c r="K555" s="1082"/>
      <c r="L555" s="1082"/>
      <c r="M555" s="1083" t="s">
        <v>2071</v>
      </c>
      <c r="N555" s="1083"/>
      <c r="O555" s="1083"/>
      <c r="P555" s="1083"/>
      <c r="Q555" s="1086"/>
      <c r="R555" s="1087"/>
      <c r="S555" s="1088"/>
      <c r="T555" s="1086"/>
      <c r="U555" s="1087"/>
      <c r="V555" s="1088"/>
      <c r="W555" s="1436"/>
      <c r="X555" s="1437"/>
      <c r="Y555" s="1438"/>
      <c r="Z555" s="1439" t="s">
        <v>2071</v>
      </c>
      <c r="AA555" s="1439"/>
      <c r="AB555" s="1439"/>
      <c r="AC555" s="1439"/>
      <c r="AD555" s="1439"/>
      <c r="AE555" s="1440"/>
      <c r="AF555" s="1441"/>
      <c r="AG555" s="1441"/>
      <c r="AH555" s="1442"/>
      <c r="AI555" s="1433"/>
      <c r="AJ555" s="1434"/>
      <c r="AK555" s="1434"/>
      <c r="AL555" s="1435"/>
      <c r="AM555" s="1142">
        <f>AO632-36064135</f>
        <v>1803509.2588104978</v>
      </c>
      <c r="AN555" s="1143"/>
      <c r="AO555" s="1143"/>
      <c r="AP555" s="1143"/>
      <c r="AQ555" s="1143"/>
      <c r="AR555" s="1143"/>
      <c r="AS555" s="1144"/>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t="s">
        <v>2071</v>
      </c>
      <c r="N556" s="1083"/>
      <c r="O556" s="1083"/>
      <c r="P556" s="1083"/>
      <c r="Q556" s="1086"/>
      <c r="R556" s="1087"/>
      <c r="S556" s="1088"/>
      <c r="T556" s="1086"/>
      <c r="U556" s="1087"/>
      <c r="V556" s="1088"/>
      <c r="W556" s="1436"/>
      <c r="X556" s="1437"/>
      <c r="Y556" s="1438"/>
      <c r="Z556" s="1439" t="s">
        <v>2071</v>
      </c>
      <c r="AA556" s="1439"/>
      <c r="AB556" s="1439"/>
      <c r="AC556" s="1439"/>
      <c r="AD556" s="1439"/>
      <c r="AE556" s="1440"/>
      <c r="AF556" s="1441"/>
      <c r="AG556" s="1441"/>
      <c r="AH556" s="1442"/>
      <c r="AI556" s="1433"/>
      <c r="AJ556" s="1434"/>
      <c r="AK556" s="1434"/>
      <c r="AL556" s="1435"/>
      <c r="AM556" s="1142"/>
      <c r="AN556" s="1143"/>
      <c r="AO556" s="1143"/>
      <c r="AP556" s="1143"/>
      <c r="AQ556" s="1143"/>
      <c r="AR556" s="1143"/>
      <c r="AS556" s="1144"/>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t="s">
        <v>2071</v>
      </c>
      <c r="N557" s="1083"/>
      <c r="O557" s="1083"/>
      <c r="P557" s="1083"/>
      <c r="Q557" s="1086"/>
      <c r="R557" s="1087"/>
      <c r="S557" s="1088"/>
      <c r="T557" s="1086"/>
      <c r="U557" s="1087"/>
      <c r="V557" s="1088"/>
      <c r="W557" s="1436"/>
      <c r="X557" s="1437"/>
      <c r="Y557" s="1438"/>
      <c r="Z557" s="1439" t="s">
        <v>2071</v>
      </c>
      <c r="AA557" s="1439"/>
      <c r="AB557" s="1439"/>
      <c r="AC557" s="1439"/>
      <c r="AD557" s="1439"/>
      <c r="AE557" s="1440"/>
      <c r="AF557" s="1441"/>
      <c r="AG557" s="1441"/>
      <c r="AH557" s="1442"/>
      <c r="AI557" s="1433"/>
      <c r="AJ557" s="1434"/>
      <c r="AK557" s="1434"/>
      <c r="AL557" s="1435"/>
      <c r="AM557" s="1142"/>
      <c r="AN557" s="1143"/>
      <c r="AO557" s="1143"/>
      <c r="AP557" s="1143"/>
      <c r="AQ557" s="1143"/>
      <c r="AR557" s="1143"/>
      <c r="AS557" s="1144"/>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8">
        <f>SUM(AM546:AS557)</f>
        <v>37867644.057745114</v>
      </c>
      <c r="AN558" s="1149"/>
      <c r="AO558" s="1149"/>
      <c r="AP558" s="1149"/>
      <c r="AQ558" s="1149"/>
      <c r="AR558" s="1149"/>
      <c r="AS558" s="115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291" t="str">
        <f>C546</f>
        <v xml:space="preserve">Construction Lender </v>
      </c>
      <c r="H560" s="1291"/>
      <c r="I560" s="1291"/>
      <c r="J560" s="1291"/>
      <c r="K560" s="1291"/>
      <c r="L560" s="1291"/>
      <c r="M560" s="1291"/>
      <c r="N560" s="1291"/>
      <c r="O560" s="1291"/>
      <c r="P560" s="1291"/>
      <c r="Q560" s="1291"/>
      <c r="R560" s="1291"/>
      <c r="S560" s="12"/>
      <c r="T560" s="61" t="s">
        <v>943</v>
      </c>
      <c r="U560" t="s">
        <v>90</v>
      </c>
      <c r="Z560" s="1291" t="str">
        <f>C547</f>
        <v>HCD LGMG</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4" t="s">
        <v>2534</v>
      </c>
      <c r="H561" s="1084"/>
      <c r="I561" s="1084"/>
      <c r="J561" s="1084"/>
      <c r="K561" s="1084"/>
      <c r="L561" s="1084"/>
      <c r="M561" s="1084"/>
      <c r="N561" s="1084"/>
      <c r="O561" s="1084"/>
      <c r="P561" s="1084"/>
      <c r="Q561" s="1084"/>
      <c r="R561" s="1084"/>
      <c r="S561" s="12"/>
      <c r="T561" s="4"/>
      <c r="U561" t="s">
        <v>396</v>
      </c>
      <c r="Z561" s="1084" t="s">
        <v>2511</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4" t="s">
        <v>122</v>
      </c>
      <c r="H562" s="1084"/>
      <c r="I562" s="1084"/>
      <c r="J562" s="1084"/>
      <c r="K562" s="1084"/>
      <c r="L562" s="1084"/>
      <c r="M562" s="1084"/>
      <c r="N562" s="1084"/>
      <c r="O562" s="1084"/>
      <c r="P562" s="1084"/>
      <c r="Q562" s="1084"/>
      <c r="R562" s="1084"/>
      <c r="T562" s="4"/>
      <c r="U562" t="s">
        <v>458</v>
      </c>
      <c r="Z562" s="1085" t="s">
        <v>118</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084" t="s">
        <v>2505</v>
      </c>
      <c r="H563" s="1084"/>
      <c r="I563" s="1084"/>
      <c r="J563" s="1084"/>
      <c r="K563" s="1084"/>
      <c r="L563" s="1084"/>
      <c r="M563" s="1084"/>
      <c r="N563" s="1084"/>
      <c r="O563" s="1084"/>
      <c r="P563" s="1084"/>
      <c r="Q563" s="1084"/>
      <c r="R563" s="1084"/>
      <c r="S563" s="12"/>
      <c r="T563" s="4"/>
      <c r="U563" t="s">
        <v>872</v>
      </c>
      <c r="Z563" s="1085" t="s">
        <v>2512</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84" t="s">
        <v>2506</v>
      </c>
      <c r="H564" s="1108"/>
      <c r="I564" s="1108"/>
      <c r="J564" s="1108"/>
      <c r="K564" s="1108"/>
      <c r="L564" s="1108"/>
      <c r="O564" s="42" t="s">
        <v>857</v>
      </c>
      <c r="P564" s="1280"/>
      <c r="Q564" s="1280"/>
      <c r="R564" s="1280"/>
      <c r="S564" s="14"/>
      <c r="T564" s="4"/>
      <c r="U564" t="s">
        <v>684</v>
      </c>
      <c r="Z564" s="1108" t="s">
        <v>2513</v>
      </c>
      <c r="AA564" s="1108"/>
      <c r="AB564" s="1108"/>
      <c r="AC564" s="1108"/>
      <c r="AD564" s="1108"/>
      <c r="AE564" s="1108"/>
      <c r="AH564" s="42" t="s">
        <v>857</v>
      </c>
      <c r="AI564" s="1280"/>
      <c r="AJ564" s="1280"/>
      <c r="AK564" s="128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135" t="s">
        <v>2523</v>
      </c>
      <c r="I565" s="1084"/>
      <c r="J565" s="1084"/>
      <c r="K565" s="1084"/>
      <c r="L565" s="1084"/>
      <c r="M565" s="1084"/>
      <c r="N565" s="1084"/>
      <c r="O565" s="1084"/>
      <c r="P565" s="1084"/>
      <c r="Q565" s="1084"/>
      <c r="R565" s="1084"/>
      <c r="S565" s="12"/>
      <c r="T565" s="4"/>
      <c r="U565" t="s">
        <v>873</v>
      </c>
      <c r="AA565" s="1084" t="s">
        <v>2510</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09" t="s">
        <v>116</v>
      </c>
      <c r="O566" s="1109"/>
      <c r="T566" s="4"/>
      <c r="U566" t="s">
        <v>875</v>
      </c>
      <c r="AG566" s="1109" t="s">
        <v>116</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291" t="str">
        <f>C548</f>
        <v xml:space="preserve">County </v>
      </c>
      <c r="H568" s="1291"/>
      <c r="I568" s="1291"/>
      <c r="J568" s="1291"/>
      <c r="K568" s="1291"/>
      <c r="L568" s="1291"/>
      <c r="M568" s="1291"/>
      <c r="N568" s="1291"/>
      <c r="O568" s="1291"/>
      <c r="P568" s="1291"/>
      <c r="Q568" s="1291"/>
      <c r="R568" s="1291"/>
      <c r="T568" s="61" t="s">
        <v>459</v>
      </c>
      <c r="U568" t="s">
        <v>90</v>
      </c>
      <c r="Z568" s="1291" t="str">
        <f>C549</f>
        <v xml:space="preserve">City HOME </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4" t="s">
        <v>2527</v>
      </c>
      <c r="H569" s="1084"/>
      <c r="I569" s="1084"/>
      <c r="J569" s="1084"/>
      <c r="K569" s="1084"/>
      <c r="L569" s="1084"/>
      <c r="M569" s="1084"/>
      <c r="N569" s="1084"/>
      <c r="O569" s="1084"/>
      <c r="P569" s="1084"/>
      <c r="Q569" s="1084"/>
      <c r="R569" s="1084"/>
      <c r="T569" s="4"/>
      <c r="U569" t="s">
        <v>396</v>
      </c>
      <c r="Z569" s="1084" t="s">
        <v>2507</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5" t="s">
        <v>117</v>
      </c>
      <c r="H570" s="1085"/>
      <c r="I570" s="1085"/>
      <c r="J570" s="1085"/>
      <c r="K570" s="1085"/>
      <c r="L570" s="1085"/>
      <c r="M570" s="1085"/>
      <c r="N570" s="1085"/>
      <c r="O570" s="1085"/>
      <c r="P570" s="1085"/>
      <c r="Q570" s="1085"/>
      <c r="R570" s="1085"/>
      <c r="T570" s="4"/>
      <c r="U570" t="s">
        <v>458</v>
      </c>
      <c r="Z570" s="1085" t="s">
        <v>117</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085" t="s">
        <v>2525</v>
      </c>
      <c r="H571" s="1085"/>
      <c r="I571" s="1085"/>
      <c r="J571" s="1085"/>
      <c r="K571" s="1085"/>
      <c r="L571" s="1085"/>
      <c r="M571" s="1085"/>
      <c r="N571" s="1085"/>
      <c r="O571" s="1085"/>
      <c r="P571" s="1085"/>
      <c r="Q571" s="1085"/>
      <c r="R571" s="1085"/>
      <c r="T571" s="4"/>
      <c r="U571" t="s">
        <v>872</v>
      </c>
      <c r="Z571" s="1085" t="s">
        <v>2508</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84" t="s">
        <v>2526</v>
      </c>
      <c r="H572" s="1108"/>
      <c r="I572" s="1108"/>
      <c r="J572" s="1108"/>
      <c r="K572" s="1108"/>
      <c r="L572" s="1108"/>
      <c r="O572" s="42" t="s">
        <v>857</v>
      </c>
      <c r="P572" s="1280"/>
      <c r="Q572" s="1280"/>
      <c r="R572" s="1280"/>
      <c r="T572" s="4"/>
      <c r="U572" t="s">
        <v>684</v>
      </c>
      <c r="Z572" s="1108" t="s">
        <v>2509</v>
      </c>
      <c r="AA572" s="1108"/>
      <c r="AB572" s="1108"/>
      <c r="AC572" s="1108"/>
      <c r="AD572" s="1108"/>
      <c r="AE572" s="1108"/>
      <c r="AH572" s="42" t="s">
        <v>857</v>
      </c>
      <c r="AI572" s="1280"/>
      <c r="AJ572" s="1280"/>
      <c r="AK572" s="128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84" t="s">
        <v>2523</v>
      </c>
      <c r="I573" s="1084"/>
      <c r="J573" s="1084"/>
      <c r="K573" s="1084"/>
      <c r="L573" s="1084"/>
      <c r="M573" s="1084"/>
      <c r="N573" s="1084"/>
      <c r="O573" s="1084"/>
      <c r="P573" s="1084"/>
      <c r="Q573" s="1084"/>
      <c r="R573" s="1084"/>
      <c r="T573" s="4"/>
      <c r="U573" t="s">
        <v>873</v>
      </c>
      <c r="AA573" s="1084" t="s">
        <v>2510</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099" t="s">
        <v>116</v>
      </c>
      <c r="O574" s="1099"/>
      <c r="T574" s="4"/>
      <c r="U574" t="s">
        <v>875</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1" t="str">
        <f>C550</f>
        <v xml:space="preserve">TUMF Fee Waiver </v>
      </c>
      <c r="H576" s="1291"/>
      <c r="I576" s="1291"/>
      <c r="J576" s="1291"/>
      <c r="K576" s="1291"/>
      <c r="L576" s="1291"/>
      <c r="M576" s="1291"/>
      <c r="N576" s="1291"/>
      <c r="O576" s="1291"/>
      <c r="P576" s="1291"/>
      <c r="Q576" s="1291"/>
      <c r="R576" s="1291"/>
      <c r="T576" s="61" t="s">
        <v>462</v>
      </c>
      <c r="U576" t="s">
        <v>90</v>
      </c>
      <c r="Z576" s="1291" t="str">
        <f>C551</f>
        <v xml:space="preserve">Land Donation </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4" t="s">
        <v>2507</v>
      </c>
      <c r="H577" s="1084"/>
      <c r="I577" s="1084"/>
      <c r="J577" s="1084"/>
      <c r="K577" s="1084"/>
      <c r="L577" s="1084"/>
      <c r="M577" s="1084"/>
      <c r="N577" s="1084"/>
      <c r="O577" s="1084"/>
      <c r="P577" s="1084"/>
      <c r="Q577" s="1084"/>
      <c r="R577" s="1084"/>
      <c r="T577" s="4"/>
      <c r="U577" t="s">
        <v>396</v>
      </c>
      <c r="Z577" s="1084" t="s">
        <v>2517</v>
      </c>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4" t="s">
        <v>117</v>
      </c>
      <c r="H578" s="1084"/>
      <c r="I578" s="1084"/>
      <c r="J578" s="1084"/>
      <c r="K578" s="1084"/>
      <c r="L578" s="1084"/>
      <c r="M578" s="1084"/>
      <c r="N578" s="1084"/>
      <c r="O578" s="1084"/>
      <c r="P578" s="1084"/>
      <c r="Q578" s="1084"/>
      <c r="R578" s="1084"/>
      <c r="T578" s="4"/>
      <c r="U578" t="s">
        <v>458</v>
      </c>
      <c r="Z578" s="1085" t="s">
        <v>2518</v>
      </c>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084" t="s">
        <v>2514</v>
      </c>
      <c r="H579" s="1084"/>
      <c r="I579" s="1084"/>
      <c r="J579" s="1084"/>
      <c r="K579" s="1084"/>
      <c r="L579" s="1084"/>
      <c r="M579" s="1084"/>
      <c r="N579" s="1084"/>
      <c r="O579" s="1084"/>
      <c r="P579" s="1084"/>
      <c r="Q579" s="1084"/>
      <c r="R579" s="1084"/>
      <c r="T579" s="4"/>
      <c r="U579" t="s">
        <v>872</v>
      </c>
      <c r="Z579" s="1085" t="s">
        <v>2519</v>
      </c>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108" t="s">
        <v>2515</v>
      </c>
      <c r="H580" s="1108"/>
      <c r="I580" s="1108"/>
      <c r="J580" s="1108"/>
      <c r="K580" s="1108"/>
      <c r="L580" s="1108"/>
      <c r="O580" s="42" t="s">
        <v>857</v>
      </c>
      <c r="P580" s="1280"/>
      <c r="Q580" s="1280"/>
      <c r="R580" s="1280"/>
      <c r="T580" s="4"/>
      <c r="U580" t="s">
        <v>684</v>
      </c>
      <c r="Z580" s="1108" t="s">
        <v>2520</v>
      </c>
      <c r="AA580" s="1108"/>
      <c r="AB580" s="1108"/>
      <c r="AC580" s="1108"/>
      <c r="AD580" s="1108"/>
      <c r="AE580" s="1108"/>
      <c r="AH580" s="42" t="s">
        <v>857</v>
      </c>
      <c r="AI580" s="1280"/>
      <c r="AJ580" s="1280"/>
      <c r="AK580" s="128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084" t="s">
        <v>2516</v>
      </c>
      <c r="I581" s="1084"/>
      <c r="J581" s="1084"/>
      <c r="K581" s="1084"/>
      <c r="L581" s="1084"/>
      <c r="M581" s="1084"/>
      <c r="N581" s="1084"/>
      <c r="O581" s="1084"/>
      <c r="P581" s="1084"/>
      <c r="Q581" s="1084"/>
      <c r="R581" s="1084"/>
      <c r="T581" s="4"/>
      <c r="U581" t="s">
        <v>873</v>
      </c>
      <c r="AA581" s="1084" t="s">
        <v>2521</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099" t="s">
        <v>116</v>
      </c>
      <c r="O582" s="1099"/>
      <c r="T582" s="4"/>
      <c r="U582" t="s">
        <v>875</v>
      </c>
      <c r="AG582" s="1099" t="s">
        <v>116</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291" t="str">
        <f>C552</f>
        <v>Sponsor Loan - CEC Build</v>
      </c>
      <c r="H584" s="1291"/>
      <c r="I584" s="1291"/>
      <c r="J584" s="1291"/>
      <c r="K584" s="1291"/>
      <c r="L584" s="1291"/>
      <c r="M584" s="1291"/>
      <c r="N584" s="1291"/>
      <c r="O584" s="1291"/>
      <c r="P584" s="1291"/>
      <c r="Q584" s="1291"/>
      <c r="R584" s="1291"/>
      <c r="T584" s="61" t="s">
        <v>777</v>
      </c>
      <c r="U584" t="s">
        <v>90</v>
      </c>
      <c r="Z584" s="1291" t="str">
        <f>C553</f>
        <v xml:space="preserve">GP Equity </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4" t="s">
        <v>2529</v>
      </c>
      <c r="H585" s="1084"/>
      <c r="I585" s="1084"/>
      <c r="J585" s="1084"/>
      <c r="K585" s="1084"/>
      <c r="L585" s="1084"/>
      <c r="M585" s="1084"/>
      <c r="N585" s="1084"/>
      <c r="O585" s="1084"/>
      <c r="P585" s="1084"/>
      <c r="Q585" s="1084"/>
      <c r="R585" s="1084"/>
      <c r="T585" s="4"/>
      <c r="U585" t="s">
        <v>396</v>
      </c>
      <c r="Z585" s="1084" t="s">
        <v>2366</v>
      </c>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4" t="s">
        <v>118</v>
      </c>
      <c r="H586" s="1084"/>
      <c r="I586" s="1084"/>
      <c r="J586" s="1084"/>
      <c r="K586" s="1084"/>
      <c r="L586" s="1084"/>
      <c r="M586" s="1084"/>
      <c r="N586" s="1084"/>
      <c r="O586" s="1084"/>
      <c r="P586" s="1084"/>
      <c r="Q586" s="1084"/>
      <c r="R586" s="1084"/>
      <c r="S586"/>
      <c r="T586" s="4"/>
      <c r="U586" t="s">
        <v>458</v>
      </c>
      <c r="V586"/>
      <c r="W586"/>
      <c r="X586"/>
      <c r="Y586"/>
      <c r="Z586" s="1085" t="s">
        <v>2360</v>
      </c>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84" t="s">
        <v>2528</v>
      </c>
      <c r="H587" s="1084"/>
      <c r="I587" s="1084"/>
      <c r="J587" s="1084"/>
      <c r="K587" s="1084"/>
      <c r="L587" s="1084"/>
      <c r="M587" s="1084"/>
      <c r="N587" s="1084"/>
      <c r="O587" s="1084"/>
      <c r="P587" s="1084"/>
      <c r="Q587" s="1084"/>
      <c r="R587" s="1084"/>
      <c r="S587"/>
      <c r="T587" s="4"/>
      <c r="U587" t="s">
        <v>872</v>
      </c>
      <c r="V587"/>
      <c r="W587"/>
      <c r="X587"/>
      <c r="Y587"/>
      <c r="Z587" s="1085" t="s">
        <v>2361</v>
      </c>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84" t="s">
        <v>2530</v>
      </c>
      <c r="H588" s="1108"/>
      <c r="I588" s="1108"/>
      <c r="J588" s="1108"/>
      <c r="K588" s="1108"/>
      <c r="L588" s="1108"/>
      <c r="M588"/>
      <c r="N588"/>
      <c r="O588" s="42" t="s">
        <v>857</v>
      </c>
      <c r="P588" s="1280">
        <v>2</v>
      </c>
      <c r="Q588" s="1280"/>
      <c r="R588" s="1280"/>
      <c r="S588"/>
      <c r="T588" s="4"/>
      <c r="U588" t="s">
        <v>684</v>
      </c>
      <c r="V588"/>
      <c r="W588"/>
      <c r="X588"/>
      <c r="Y588"/>
      <c r="Z588" s="1108" t="s">
        <v>2383</v>
      </c>
      <c r="AA588" s="1108"/>
      <c r="AB588" s="1108"/>
      <c r="AC588" s="1108"/>
      <c r="AD588" s="1108"/>
      <c r="AE588" s="1108"/>
      <c r="AF588"/>
      <c r="AG588"/>
      <c r="AH588" s="42" t="s">
        <v>857</v>
      </c>
      <c r="AI588" s="1280"/>
      <c r="AJ588" s="1280"/>
      <c r="AK588" s="1280"/>
      <c r="AL588"/>
      <c r="AZ588" s="5" t="s">
        <v>469</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14</v>
      </c>
      <c r="BT588" s="1239"/>
      <c r="BU588" s="1239"/>
      <c r="BV588" s="1239"/>
      <c r="BW588" s="1241"/>
      <c r="BX588" s="1238">
        <f t="shared" ref="BX588:BX612" si="3">IF(B692="2 Bedrooms",G692,0)</f>
        <v>0</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5">
        <f t="shared" ref="CM588:CM612" si="6">IF(B692="5 Bedrooms",G692,0)</f>
        <v>0</v>
      </c>
      <c r="CN588" s="1496"/>
      <c r="CO588" s="1496"/>
      <c r="CP588" s="1496"/>
      <c r="CQ588" s="1240"/>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378" t="s">
        <v>2523</v>
      </c>
      <c r="I589" s="1378"/>
      <c r="J589" s="1378"/>
      <c r="K589" s="1378"/>
      <c r="L589" s="1378"/>
      <c r="M589" s="1378"/>
      <c r="N589" s="1378"/>
      <c r="O589" s="1378"/>
      <c r="P589" s="1378"/>
      <c r="Q589" s="1378"/>
      <c r="R589" s="1378"/>
      <c r="S589"/>
      <c r="T589" s="4"/>
      <c r="U589" t="s">
        <v>873</v>
      </c>
      <c r="V589"/>
      <c r="W589"/>
      <c r="X589"/>
      <c r="Y589"/>
      <c r="Z589"/>
      <c r="AA589" s="1084" t="s">
        <v>2522</v>
      </c>
      <c r="AB589" s="1084"/>
      <c r="AC589" s="1084"/>
      <c r="AD589" s="1084"/>
      <c r="AE589" s="1084"/>
      <c r="AF589" s="1084"/>
      <c r="AG589" s="1084"/>
      <c r="AH589" s="1084"/>
      <c r="AI589" s="1084"/>
      <c r="AJ589" s="1084"/>
      <c r="AK589" s="1084"/>
      <c r="AL589"/>
      <c r="AZ589" s="5" t="s">
        <v>470</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14</v>
      </c>
      <c r="BL589" s="1241"/>
      <c r="BN589" s="1238">
        <f t="shared" si="1"/>
        <v>0</v>
      </c>
      <c r="BO589" s="1239"/>
      <c r="BP589" s="1239"/>
      <c r="BQ589" s="1239"/>
      <c r="BR589" s="1240"/>
      <c r="BS589" s="1238">
        <f t="shared" si="2"/>
        <v>9</v>
      </c>
      <c r="BT589" s="1239"/>
      <c r="BU589" s="1239"/>
      <c r="BV589" s="1239"/>
      <c r="BW589" s="1241"/>
      <c r="BX589" s="1238">
        <f t="shared" si="3"/>
        <v>0</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2">
        <f>IF(AND(B692="SRO/Studio",AH692&lt;=0.3),G692,0)</f>
        <v>0</v>
      </c>
      <c r="CT589" s="1493"/>
      <c r="CU589" s="1493"/>
      <c r="CV589" s="1493"/>
      <c r="CW589" s="1494"/>
      <c r="CX589" s="1492">
        <f>IF(AND(B692="1 Bedroom",AH692&lt;=0.3),G692,0)</f>
        <v>14</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2.95" customHeight="1">
      <c r="A590" s="4"/>
      <c r="B590" t="s">
        <v>875</v>
      </c>
      <c r="C590"/>
      <c r="D590"/>
      <c r="E590"/>
      <c r="F590"/>
      <c r="G590"/>
      <c r="H590"/>
      <c r="I590"/>
      <c r="J590"/>
      <c r="K590"/>
      <c r="L590"/>
      <c r="M590"/>
      <c r="N590" s="1099" t="s">
        <v>116</v>
      </c>
      <c r="O590" s="1099"/>
      <c r="P590"/>
      <c r="Q590"/>
      <c r="R590"/>
      <c r="S590"/>
      <c r="T590" s="4"/>
      <c r="U590" t="s">
        <v>875</v>
      </c>
      <c r="V590"/>
      <c r="W590"/>
      <c r="X590"/>
      <c r="Y590"/>
      <c r="Z590"/>
      <c r="AA590"/>
      <c r="AB590"/>
      <c r="AC590"/>
      <c r="AD590"/>
      <c r="AE590"/>
      <c r="AF590"/>
      <c r="AG590" s="1099" t="s">
        <v>116</v>
      </c>
      <c r="AH590" s="1099"/>
      <c r="AI590"/>
      <c r="AJ590"/>
      <c r="AK590"/>
      <c r="AL590"/>
      <c r="AZ590" s="5" t="s">
        <v>815</v>
      </c>
      <c r="BA590" s="41"/>
      <c r="BB590" s="41"/>
      <c r="BC590" s="41"/>
      <c r="BD590" s="41"/>
      <c r="BE590" s="1242">
        <f t="shared" ref="BE590:BE613" si="9">IF(AND(AH693&lt;=0.5,AH693&gt;=0.36),1,0)</f>
        <v>1</v>
      </c>
      <c r="BF590" s="1243"/>
      <c r="BG590" s="1238">
        <f t="shared" si="7"/>
        <v>9</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35</v>
      </c>
      <c r="BT590" s="1239"/>
      <c r="BU590" s="1239"/>
      <c r="BV590" s="1239"/>
      <c r="BW590" s="1241"/>
      <c r="BX590" s="1238">
        <f t="shared" si="3"/>
        <v>0</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2">
        <f t="shared" ref="CS590:CS613" si="11">IF(AND(B693="SRO/Studio",AH693&lt;=0.3),G693,0)</f>
        <v>0</v>
      </c>
      <c r="CT590" s="1493"/>
      <c r="CU590" s="1493"/>
      <c r="CV590" s="1493"/>
      <c r="CW590" s="1494"/>
      <c r="CX590" s="1492">
        <f t="shared" ref="CX590:CX613" si="12">IF(AND(B693="1 Bedroom",AH693&lt;=0.3),G693,0)</f>
        <v>0</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2.95" customHeight="1">
      <c r="AZ591" s="5" t="s">
        <v>816</v>
      </c>
      <c r="BA591" s="41"/>
      <c r="BB591" s="41"/>
      <c r="BC591" s="41"/>
      <c r="BD591" s="41"/>
      <c r="BE591" s="1242">
        <f t="shared" si="9"/>
        <v>1</v>
      </c>
      <c r="BF591" s="1243"/>
      <c r="BG591" s="1238">
        <f t="shared" si="7"/>
        <v>35</v>
      </c>
      <c r="BH591" s="1241"/>
      <c r="BI591" s="1242">
        <f t="shared" si="10"/>
        <v>0</v>
      </c>
      <c r="BJ591" s="1243"/>
      <c r="BK591" s="1238">
        <f t="shared" si="8"/>
        <v>0</v>
      </c>
      <c r="BL591" s="1241"/>
      <c r="BN591" s="1238">
        <f t="shared" si="1"/>
        <v>0</v>
      </c>
      <c r="BO591" s="1239"/>
      <c r="BP591" s="1239"/>
      <c r="BQ591" s="1239"/>
      <c r="BR591" s="1240"/>
      <c r="BS591" s="1238">
        <f t="shared" si="2"/>
        <v>0</v>
      </c>
      <c r="BT591" s="1239"/>
      <c r="BU591" s="1239"/>
      <c r="BV591" s="1239"/>
      <c r="BW591" s="1241"/>
      <c r="BX591" s="1238">
        <f t="shared" si="3"/>
        <v>0</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2">
        <f t="shared" si="11"/>
        <v>0</v>
      </c>
      <c r="CT591" s="1493"/>
      <c r="CU591" s="1493"/>
      <c r="CV591" s="1493"/>
      <c r="CW591" s="1494"/>
      <c r="CX591" s="1492">
        <f t="shared" si="12"/>
        <v>0</v>
      </c>
      <c r="CY591" s="1493"/>
      <c r="CZ591" s="1493"/>
      <c r="DA591" s="1493"/>
      <c r="DB591" s="1494"/>
      <c r="DC591" s="1492">
        <f t="shared" si="13"/>
        <v>0</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2.95" customHeight="1">
      <c r="A592" s="61" t="s">
        <v>575</v>
      </c>
      <c r="B592" t="s">
        <v>90</v>
      </c>
      <c r="G592" s="1291" t="str">
        <f>C554</f>
        <v xml:space="preserve">Investor Equity </v>
      </c>
      <c r="H592" s="1291"/>
      <c r="I592" s="1291"/>
      <c r="J592" s="1291"/>
      <c r="K592" s="1291"/>
      <c r="L592" s="1291"/>
      <c r="M592" s="1291"/>
      <c r="N592" s="1291"/>
      <c r="O592" s="1291"/>
      <c r="P592" s="1291"/>
      <c r="Q592" s="1291"/>
      <c r="R592" s="1291"/>
      <c r="T592" s="61" t="s">
        <v>185</v>
      </c>
      <c r="U592" t="s">
        <v>90</v>
      </c>
      <c r="Z592" s="1291" t="str">
        <f>C555</f>
        <v>Deferred Costs</v>
      </c>
      <c r="AA592" s="1291"/>
      <c r="AB592" s="1291"/>
      <c r="AC592" s="1291"/>
      <c r="AD592" s="1291"/>
      <c r="AE592" s="1291"/>
      <c r="AF592" s="1291"/>
      <c r="AG592" s="1291"/>
      <c r="AH592" s="1291"/>
      <c r="AI592" s="1291"/>
      <c r="AJ592" s="1291"/>
      <c r="AK592" s="1291"/>
      <c r="AZ592" s="5" t="s">
        <v>817</v>
      </c>
      <c r="BA592" s="41"/>
      <c r="BB592" s="41"/>
      <c r="BC592" s="41"/>
      <c r="BD592" s="41"/>
      <c r="BE592" s="1242">
        <f t="shared" si="9"/>
        <v>0</v>
      </c>
      <c r="BF592" s="1243"/>
      <c r="BG592" s="1238">
        <f t="shared" si="7"/>
        <v>0</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0</v>
      </c>
      <c r="BY592" s="1239"/>
      <c r="BZ592" s="1239"/>
      <c r="CA592" s="1239"/>
      <c r="CB592" s="1241"/>
      <c r="CC592" s="1238">
        <f t="shared" si="4"/>
        <v>0</v>
      </c>
      <c r="CD592" s="1239"/>
      <c r="CE592" s="1239"/>
      <c r="CF592" s="1239"/>
      <c r="CG592" s="1241"/>
      <c r="CH592" s="1238">
        <f t="shared" si="5"/>
        <v>0</v>
      </c>
      <c r="CI592" s="1239"/>
      <c r="CJ592" s="1239"/>
      <c r="CK592" s="1239"/>
      <c r="CL592" s="1241"/>
      <c r="CM592" s="1238">
        <f t="shared" si="6"/>
        <v>0</v>
      </c>
      <c r="CN592" s="1239"/>
      <c r="CO592" s="1239"/>
      <c r="CP592" s="1239"/>
      <c r="CQ592" s="1241"/>
      <c r="CS592" s="1492">
        <f t="shared" si="11"/>
        <v>0</v>
      </c>
      <c r="CT592" s="1493"/>
      <c r="CU592" s="1493"/>
      <c r="CV592" s="1493"/>
      <c r="CW592" s="1494"/>
      <c r="CX592" s="1492">
        <f t="shared" si="12"/>
        <v>0</v>
      </c>
      <c r="CY592" s="1493"/>
      <c r="CZ592" s="1493"/>
      <c r="DA592" s="1493"/>
      <c r="DB592" s="1494"/>
      <c r="DC592" s="1492">
        <f t="shared" si="13"/>
        <v>0</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2.95" customHeight="1">
      <c r="A593" s="4"/>
      <c r="B593" t="s">
        <v>396</v>
      </c>
      <c r="G593" s="1084"/>
      <c r="H593" s="1084"/>
      <c r="I593" s="1084"/>
      <c r="J593" s="1084"/>
      <c r="K593" s="1084"/>
      <c r="L593" s="1084"/>
      <c r="M593" s="1084"/>
      <c r="N593" s="1084"/>
      <c r="O593" s="1084"/>
      <c r="P593" s="1084"/>
      <c r="Q593" s="1084"/>
      <c r="R593" s="1084"/>
      <c r="T593" s="4"/>
      <c r="U593" t="s">
        <v>396</v>
      </c>
      <c r="Z593" s="1084" t="s">
        <v>2366</v>
      </c>
      <c r="AA593" s="1084"/>
      <c r="AB593" s="1084"/>
      <c r="AC593" s="1084"/>
      <c r="AD593" s="1084"/>
      <c r="AE593" s="1084"/>
      <c r="AF593" s="1084"/>
      <c r="AG593" s="1084"/>
      <c r="AH593" s="1084"/>
      <c r="AI593" s="1084"/>
      <c r="AJ593" s="1084"/>
      <c r="AK593" s="1084"/>
      <c r="AZ593" s="5" t="s">
        <v>365</v>
      </c>
      <c r="BA593" s="41"/>
      <c r="BB593" s="41"/>
      <c r="BC593" s="41"/>
      <c r="BD593" s="41"/>
      <c r="BE593" s="1242">
        <f t="shared" si="9"/>
        <v>0</v>
      </c>
      <c r="BF593" s="1243"/>
      <c r="BG593" s="1238">
        <f t="shared" si="7"/>
        <v>0</v>
      </c>
      <c r="BH593" s="1241"/>
      <c r="BI593" s="1242">
        <f t="shared" si="10"/>
        <v>0</v>
      </c>
      <c r="BJ593" s="1243"/>
      <c r="BK593" s="1238">
        <f t="shared" si="8"/>
        <v>0</v>
      </c>
      <c r="BL593" s="1241"/>
      <c r="BN593" s="1238">
        <f t="shared" si="1"/>
        <v>0</v>
      </c>
      <c r="BO593" s="1239"/>
      <c r="BP593" s="1239"/>
      <c r="BQ593" s="1239"/>
      <c r="BR593" s="1240"/>
      <c r="BS593" s="1238">
        <f t="shared" si="2"/>
        <v>0</v>
      </c>
      <c r="BT593" s="1239"/>
      <c r="BU593" s="1239"/>
      <c r="BV593" s="1239"/>
      <c r="BW593" s="1241"/>
      <c r="BX593" s="1238">
        <f t="shared" si="3"/>
        <v>0</v>
      </c>
      <c r="BY593" s="1239"/>
      <c r="BZ593" s="1239"/>
      <c r="CA593" s="1239"/>
      <c r="CB593" s="1241"/>
      <c r="CC593" s="1238">
        <f t="shared" si="4"/>
        <v>0</v>
      </c>
      <c r="CD593" s="1239"/>
      <c r="CE593" s="1239"/>
      <c r="CF593" s="1239"/>
      <c r="CG593" s="1241"/>
      <c r="CH593" s="1238">
        <f t="shared" si="5"/>
        <v>0</v>
      </c>
      <c r="CI593" s="1239"/>
      <c r="CJ593" s="1239"/>
      <c r="CK593" s="1239"/>
      <c r="CL593" s="1241"/>
      <c r="CM593" s="1238">
        <f t="shared" si="6"/>
        <v>0</v>
      </c>
      <c r="CN593" s="1239"/>
      <c r="CO593" s="1239"/>
      <c r="CP593" s="1239"/>
      <c r="CQ593" s="1241"/>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2.95" customHeight="1">
      <c r="A594" s="4"/>
      <c r="B594" t="s">
        <v>458</v>
      </c>
      <c r="G594" s="1084"/>
      <c r="H594" s="1084"/>
      <c r="I594" s="1084"/>
      <c r="J594" s="1084"/>
      <c r="K594" s="1084"/>
      <c r="L594" s="1084"/>
      <c r="M594" s="1084"/>
      <c r="N594" s="1084"/>
      <c r="O594" s="1084"/>
      <c r="P594" s="1084"/>
      <c r="Q594" s="1084"/>
      <c r="R594" s="1084"/>
      <c r="T594" s="4"/>
      <c r="U594" t="s">
        <v>458</v>
      </c>
      <c r="Z594" s="1085" t="s">
        <v>2360</v>
      </c>
      <c r="AA594" s="1085"/>
      <c r="AB594" s="1085"/>
      <c r="AC594" s="1085"/>
      <c r="AD594" s="1085"/>
      <c r="AE594" s="1085"/>
      <c r="AF594" s="1085"/>
      <c r="AG594" s="1085"/>
      <c r="AH594" s="1085"/>
      <c r="AI594" s="1085"/>
      <c r="AJ594" s="1085"/>
      <c r="AK594" s="1085"/>
      <c r="AZ594" s="41"/>
      <c r="BA594" s="41"/>
      <c r="BB594" s="41"/>
      <c r="BC594" s="41"/>
      <c r="BD594" s="41"/>
      <c r="BE594" s="1242">
        <f t="shared" si="9"/>
        <v>0</v>
      </c>
      <c r="BF594" s="1243"/>
      <c r="BG594" s="1238">
        <f t="shared" si="7"/>
        <v>0</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0</v>
      </c>
      <c r="BY594" s="1239"/>
      <c r="BZ594" s="1239"/>
      <c r="CA594" s="1239"/>
      <c r="CB594" s="1241"/>
      <c r="CC594" s="1238">
        <f t="shared" si="4"/>
        <v>0</v>
      </c>
      <c r="CD594" s="1239"/>
      <c r="CE594" s="1239"/>
      <c r="CF594" s="1239"/>
      <c r="CG594" s="1241"/>
      <c r="CH594" s="1238">
        <f t="shared" si="5"/>
        <v>0</v>
      </c>
      <c r="CI594" s="1239"/>
      <c r="CJ594" s="1239"/>
      <c r="CK594" s="1239"/>
      <c r="CL594" s="1241"/>
      <c r="CM594" s="1238">
        <f t="shared" si="6"/>
        <v>0</v>
      </c>
      <c r="CN594" s="1239"/>
      <c r="CO594" s="1239"/>
      <c r="CP594" s="1239"/>
      <c r="CQ594" s="1241"/>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2.95" customHeight="1">
      <c r="A595" s="4"/>
      <c r="B595" t="s">
        <v>872</v>
      </c>
      <c r="G595" s="1084"/>
      <c r="H595" s="1084"/>
      <c r="I595" s="1084"/>
      <c r="J595" s="1084"/>
      <c r="K595" s="1084"/>
      <c r="L595" s="1084"/>
      <c r="M595" s="1084"/>
      <c r="N595" s="1084"/>
      <c r="O595" s="1084"/>
      <c r="P595" s="1084"/>
      <c r="Q595" s="1084"/>
      <c r="R595" s="1084"/>
      <c r="T595" s="4"/>
      <c r="U595" t="s">
        <v>872</v>
      </c>
      <c r="Z595" s="1085" t="s">
        <v>2361</v>
      </c>
      <c r="AA595" s="1085"/>
      <c r="AB595" s="1085"/>
      <c r="AC595" s="1085"/>
      <c r="AD595" s="1085"/>
      <c r="AE595" s="1085"/>
      <c r="AF595" s="1085"/>
      <c r="AG595" s="1085"/>
      <c r="AH595" s="1085"/>
      <c r="AI595" s="1085"/>
      <c r="AJ595" s="1085"/>
      <c r="AK595" s="1085"/>
      <c r="AZ595" s="41"/>
      <c r="BA595" s="41"/>
      <c r="BB595" s="41"/>
      <c r="BC595" s="41"/>
      <c r="BD595" s="41"/>
      <c r="BE595" s="1242">
        <f t="shared" si="9"/>
        <v>0</v>
      </c>
      <c r="BF595" s="1243"/>
      <c r="BG595" s="1238">
        <f t="shared" si="7"/>
        <v>0</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0</v>
      </c>
      <c r="CD595" s="1239"/>
      <c r="CE595" s="1239"/>
      <c r="CF595" s="1239"/>
      <c r="CG595" s="1241"/>
      <c r="CH595" s="1238">
        <f t="shared" si="5"/>
        <v>0</v>
      </c>
      <c r="CI595" s="1239"/>
      <c r="CJ595" s="1239"/>
      <c r="CK595" s="1239"/>
      <c r="CL595" s="1241"/>
      <c r="CM595" s="1238">
        <f t="shared" si="6"/>
        <v>0</v>
      </c>
      <c r="CN595" s="1239"/>
      <c r="CO595" s="1239"/>
      <c r="CP595" s="1239"/>
      <c r="CQ595" s="1241"/>
      <c r="CS595" s="1492">
        <f t="shared" si="11"/>
        <v>0</v>
      </c>
      <c r="CT595" s="1493"/>
      <c r="CU595" s="1493"/>
      <c r="CV595" s="1493"/>
      <c r="CW595" s="1494"/>
      <c r="CX595" s="1492">
        <f t="shared" si="12"/>
        <v>0</v>
      </c>
      <c r="CY595" s="1493"/>
      <c r="CZ595" s="1493"/>
      <c r="DA595" s="1493"/>
      <c r="DB595" s="1494"/>
      <c r="DC595" s="1492">
        <f t="shared" si="13"/>
        <v>0</v>
      </c>
      <c r="DD595" s="1493"/>
      <c r="DE595" s="1493"/>
      <c r="DF595" s="1493"/>
      <c r="DG595" s="1494"/>
      <c r="DH595" s="1492">
        <f t="shared" si="14"/>
        <v>0</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2.95" customHeight="1">
      <c r="A596" s="4"/>
      <c r="B596" t="s">
        <v>684</v>
      </c>
      <c r="G596" s="1108"/>
      <c r="H596" s="1108"/>
      <c r="I596" s="1108"/>
      <c r="J596" s="1108"/>
      <c r="K596" s="1108"/>
      <c r="L596" s="1108"/>
      <c r="O596" s="42" t="s">
        <v>857</v>
      </c>
      <c r="P596" s="1280"/>
      <c r="Q596" s="1280"/>
      <c r="R596" s="1280"/>
      <c r="T596" s="4"/>
      <c r="U596" t="s">
        <v>684</v>
      </c>
      <c r="Z596" s="1284" t="s">
        <v>2383</v>
      </c>
      <c r="AA596" s="1108"/>
      <c r="AB596" s="1108"/>
      <c r="AC596" s="1108"/>
      <c r="AD596" s="1108"/>
      <c r="AE596" s="1108"/>
      <c r="AH596" s="42" t="s">
        <v>857</v>
      </c>
      <c r="AI596" s="1280"/>
      <c r="AJ596" s="1280"/>
      <c r="AK596" s="1280"/>
      <c r="AZ596" s="41"/>
      <c r="BA596" s="41"/>
      <c r="BB596" s="41"/>
      <c r="BC596" s="41"/>
      <c r="BD596" s="41"/>
      <c r="BE596" s="1242">
        <f t="shared" si="9"/>
        <v>0</v>
      </c>
      <c r="BF596" s="1243"/>
      <c r="BG596" s="1238">
        <f t="shared" si="7"/>
        <v>0</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0</v>
      </c>
      <c r="CD596" s="1239"/>
      <c r="CE596" s="1239"/>
      <c r="CF596" s="1239"/>
      <c r="CG596" s="1241"/>
      <c r="CH596" s="1238">
        <f t="shared" si="5"/>
        <v>0</v>
      </c>
      <c r="CI596" s="1239"/>
      <c r="CJ596" s="1239"/>
      <c r="CK596" s="1239"/>
      <c r="CL596" s="1241"/>
      <c r="CM596" s="1238">
        <f t="shared" si="6"/>
        <v>0</v>
      </c>
      <c r="CN596" s="1239"/>
      <c r="CO596" s="1239"/>
      <c r="CP596" s="1239"/>
      <c r="CQ596" s="1241"/>
      <c r="CS596" s="1492">
        <f t="shared" si="11"/>
        <v>0</v>
      </c>
      <c r="CT596" s="1493"/>
      <c r="CU596" s="1493"/>
      <c r="CV596" s="1493"/>
      <c r="CW596" s="1494"/>
      <c r="CX596" s="1492">
        <f t="shared" si="12"/>
        <v>0</v>
      </c>
      <c r="CY596" s="1493"/>
      <c r="CZ596" s="1493"/>
      <c r="DA596" s="1493"/>
      <c r="DB596" s="1494"/>
      <c r="DC596" s="1492">
        <f t="shared" si="13"/>
        <v>0</v>
      </c>
      <c r="DD596" s="1493"/>
      <c r="DE596" s="1493"/>
      <c r="DF596" s="1493"/>
      <c r="DG596" s="1494"/>
      <c r="DH596" s="1492">
        <f t="shared" si="14"/>
        <v>0</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2.95" customHeight="1">
      <c r="A597" s="4"/>
      <c r="B597" t="s">
        <v>873</v>
      </c>
      <c r="C597"/>
      <c r="D597"/>
      <c r="E597"/>
      <c r="F597"/>
      <c r="G597"/>
      <c r="H597" s="1084"/>
      <c r="I597" s="1084"/>
      <c r="J597" s="1084"/>
      <c r="K597" s="1084"/>
      <c r="L597" s="1084"/>
      <c r="M597" s="1084"/>
      <c r="N597" s="1084"/>
      <c r="O597" s="1084"/>
      <c r="P597" s="1084"/>
      <c r="Q597" s="1084"/>
      <c r="R597" s="1084"/>
      <c r="S597"/>
      <c r="T597" s="4"/>
      <c r="U597" t="s">
        <v>873</v>
      </c>
      <c r="V597"/>
      <c r="W597"/>
      <c r="X597"/>
      <c r="Y597"/>
      <c r="Z597"/>
      <c r="AA597" s="1084" t="s">
        <v>2533</v>
      </c>
      <c r="AB597" s="1084"/>
      <c r="AC597" s="1084"/>
      <c r="AD597" s="1084"/>
      <c r="AE597" s="1084"/>
      <c r="AF597" s="1084"/>
      <c r="AG597" s="1084"/>
      <c r="AH597" s="1084"/>
      <c r="AI597" s="1084"/>
      <c r="AJ597" s="1084"/>
      <c r="AK597" s="1084"/>
      <c r="AL597"/>
      <c r="AZ597" s="41"/>
      <c r="BA597" s="41"/>
      <c r="BB597" s="41"/>
      <c r="BC597" s="41"/>
      <c r="BD597" s="41"/>
      <c r="BE597" s="1242">
        <f t="shared" si="9"/>
        <v>0</v>
      </c>
      <c r="BF597" s="1243"/>
      <c r="BG597" s="1238">
        <f t="shared" si="7"/>
        <v>0</v>
      </c>
      <c r="BH597" s="1241"/>
      <c r="BI597" s="1242">
        <f t="shared" si="10"/>
        <v>0</v>
      </c>
      <c r="BJ597" s="1243"/>
      <c r="BK597" s="1238">
        <f t="shared" si="8"/>
        <v>0</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2.95" customHeight="1">
      <c r="A598" s="4"/>
      <c r="B598" t="s">
        <v>875</v>
      </c>
      <c r="C598"/>
      <c r="D598"/>
      <c r="E598"/>
      <c r="F598"/>
      <c r="G598"/>
      <c r="H598"/>
      <c r="I598"/>
      <c r="J598"/>
      <c r="K598"/>
      <c r="L598"/>
      <c r="M598"/>
      <c r="N598" s="1099" t="s">
        <v>510</v>
      </c>
      <c r="O598" s="1099"/>
      <c r="P598"/>
      <c r="Q598"/>
      <c r="R598"/>
      <c r="S598"/>
      <c r="T598" s="4"/>
      <c r="U598" t="s">
        <v>875</v>
      </c>
      <c r="V598"/>
      <c r="W598"/>
      <c r="X598"/>
      <c r="Y598"/>
      <c r="Z598"/>
      <c r="AA598"/>
      <c r="AB598"/>
      <c r="AC598"/>
      <c r="AD598"/>
      <c r="AE598"/>
      <c r="AF598"/>
      <c r="AG598" s="1099" t="s">
        <v>116</v>
      </c>
      <c r="AH598" s="1099"/>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2">
        <f t="shared" si="11"/>
        <v>0</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2">
        <f t="shared" si="11"/>
        <v>0</v>
      </c>
      <c r="CT599" s="1493"/>
      <c r="CU599" s="1493"/>
      <c r="CV599" s="1493"/>
      <c r="CW599" s="1494"/>
      <c r="CX599" s="1492">
        <f t="shared" si="12"/>
        <v>0</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2.95" customHeight="1">
      <c r="A600" s="61" t="s">
        <v>36</v>
      </c>
      <c r="B600" t="s">
        <v>90</v>
      </c>
      <c r="G600" s="1291">
        <f>C556</f>
        <v>0</v>
      </c>
      <c r="H600" s="1291"/>
      <c r="I600" s="1291"/>
      <c r="J600" s="1291"/>
      <c r="K600" s="1291"/>
      <c r="L600" s="1291"/>
      <c r="M600" s="1291"/>
      <c r="N600" s="1291"/>
      <c r="O600" s="1291"/>
      <c r="P600" s="1291"/>
      <c r="Q600" s="1291"/>
      <c r="R600" s="1291"/>
      <c r="T600" s="61" t="s">
        <v>37</v>
      </c>
      <c r="U600" t="s">
        <v>90</v>
      </c>
      <c r="Z600" s="1291">
        <f>C557</f>
        <v>0</v>
      </c>
      <c r="AA600" s="1291"/>
      <c r="AB600" s="1291"/>
      <c r="AC600" s="1291"/>
      <c r="AD600" s="1291"/>
      <c r="AE600" s="1291"/>
      <c r="AF600" s="1291"/>
      <c r="AG600" s="1291"/>
      <c r="AH600" s="1291"/>
      <c r="AI600" s="1291"/>
      <c r="AJ600" s="1291"/>
      <c r="AK600" s="1291"/>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2.95"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2">
        <f t="shared" si="11"/>
        <v>0</v>
      </c>
      <c r="CT601" s="1493"/>
      <c r="CU601" s="1493"/>
      <c r="CV601" s="1493"/>
      <c r="CW601" s="1494"/>
      <c r="CX601" s="1492">
        <f t="shared" si="12"/>
        <v>0</v>
      </c>
      <c r="CY601" s="1493"/>
      <c r="CZ601" s="1493"/>
      <c r="DA601" s="1493"/>
      <c r="DB601" s="1494"/>
      <c r="DC601" s="1492">
        <f t="shared" si="13"/>
        <v>0</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2.95"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2">
        <f t="shared" si="11"/>
        <v>0</v>
      </c>
      <c r="CT602" s="1493"/>
      <c r="CU602" s="1493"/>
      <c r="CV602" s="1493"/>
      <c r="CW602" s="1494"/>
      <c r="CX602" s="1492">
        <f t="shared" si="12"/>
        <v>0</v>
      </c>
      <c r="CY602" s="1493"/>
      <c r="CZ602" s="1493"/>
      <c r="DA602" s="1493"/>
      <c r="DB602" s="1494"/>
      <c r="DC602" s="1492">
        <f t="shared" si="13"/>
        <v>0</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2.95" customHeight="1">
      <c r="B603" t="s">
        <v>872</v>
      </c>
      <c r="G603" s="1084"/>
      <c r="H603" s="1084"/>
      <c r="I603" s="1084"/>
      <c r="J603" s="1084"/>
      <c r="K603" s="1084"/>
      <c r="L603" s="1084"/>
      <c r="M603" s="1084"/>
      <c r="N603" s="1084"/>
      <c r="O603" s="1084"/>
      <c r="P603" s="1084"/>
      <c r="Q603" s="1084"/>
      <c r="R603" s="1084"/>
      <c r="U603" t="s">
        <v>872</v>
      </c>
      <c r="Z603" s="1085"/>
      <c r="AA603" s="1085"/>
      <c r="AB603" s="1085"/>
      <c r="AC603" s="1085"/>
      <c r="AD603" s="1085"/>
      <c r="AE603" s="1085"/>
      <c r="AF603" s="1085"/>
      <c r="AG603" s="1085"/>
      <c r="AH603" s="1085"/>
      <c r="AI603" s="1085"/>
      <c r="AJ603" s="1085"/>
      <c r="AK603" s="1085"/>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2.95" customHeight="1">
      <c r="B604" t="s">
        <v>684</v>
      </c>
      <c r="G604" s="1108"/>
      <c r="H604" s="1108"/>
      <c r="I604" s="1108"/>
      <c r="J604" s="1108"/>
      <c r="K604" s="1108"/>
      <c r="L604" s="1108"/>
      <c r="O604" s="42" t="s">
        <v>857</v>
      </c>
      <c r="P604" s="1280"/>
      <c r="Q604" s="1280"/>
      <c r="R604" s="1280"/>
      <c r="U604" t="s">
        <v>684</v>
      </c>
      <c r="Z604" s="1108"/>
      <c r="AA604" s="1108"/>
      <c r="AB604" s="1108"/>
      <c r="AC604" s="1108"/>
      <c r="AD604" s="1108"/>
      <c r="AE604" s="1108"/>
      <c r="AH604" s="42" t="s">
        <v>857</v>
      </c>
      <c r="AI604" s="1280"/>
      <c r="AJ604" s="1280"/>
      <c r="AK604" s="1280"/>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2.95" customHeight="1">
      <c r="B605" t="s">
        <v>873</v>
      </c>
      <c r="H605" s="1084"/>
      <c r="I605" s="1084"/>
      <c r="J605" s="1084"/>
      <c r="K605" s="1084"/>
      <c r="L605" s="1084"/>
      <c r="M605" s="1084"/>
      <c r="N605" s="1084"/>
      <c r="O605" s="1084"/>
      <c r="P605" s="1084"/>
      <c r="Q605" s="1084"/>
      <c r="R605" s="1084"/>
      <c r="U605" t="s">
        <v>873</v>
      </c>
      <c r="AA605" s="1084"/>
      <c r="AB605" s="1084"/>
      <c r="AC605" s="1084"/>
      <c r="AD605" s="1084"/>
      <c r="AE605" s="1084"/>
      <c r="AF605" s="1084"/>
      <c r="AG605" s="1084"/>
      <c r="AH605" s="1084"/>
      <c r="AI605" s="1084"/>
      <c r="AJ605" s="1084"/>
      <c r="AK605" s="1084"/>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2.95" customHeight="1">
      <c r="B606" t="s">
        <v>875</v>
      </c>
      <c r="N606" s="1109" t="s">
        <v>510</v>
      </c>
      <c r="O606" s="1109"/>
      <c r="U606" t="s">
        <v>875</v>
      </c>
      <c r="AG606" s="1109" t="s">
        <v>510</v>
      </c>
      <c r="AH606" s="1109"/>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2.95"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2.95"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2.95"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2.95" customHeight="1">
      <c r="A611" s="3" t="s">
        <v>687</v>
      </c>
      <c r="B611" s="3"/>
      <c r="C611" s="3" t="s">
        <v>876</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2.95"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2.95" customHeight="1">
      <c r="C613" s="3" t="s">
        <v>2242</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9"/>
      <c r="BP613" s="1309"/>
      <c r="BQ613" s="1309"/>
      <c r="BR613" s="1243"/>
      <c r="BS613" s="1242">
        <f>SUM(BS588:BW612)</f>
        <v>58</v>
      </c>
      <c r="BT613" s="1309"/>
      <c r="BU613" s="1309"/>
      <c r="BV613" s="1309"/>
      <c r="BW613" s="1243"/>
      <c r="BX613" s="1242">
        <f>SUM(BX588:CB612)</f>
        <v>0</v>
      </c>
      <c r="BY613" s="1309"/>
      <c r="BZ613" s="1309"/>
      <c r="CA613" s="1309"/>
      <c r="CB613" s="1243"/>
      <c r="CC613" s="1242">
        <f>SUM(CC588:CG612)</f>
        <v>0</v>
      </c>
      <c r="CD613" s="1309"/>
      <c r="CE613" s="1309"/>
      <c r="CF613" s="1309"/>
      <c r="CG613" s="1243"/>
      <c r="CH613" s="1242">
        <f>SUM(CH588:CL612)</f>
        <v>0</v>
      </c>
      <c r="CI613" s="1309"/>
      <c r="CJ613" s="1309"/>
      <c r="CK613" s="1309"/>
      <c r="CL613" s="1243"/>
      <c r="CM613" s="1242">
        <f>SUM(CM588:CQ612)</f>
        <v>0</v>
      </c>
      <c r="CN613" s="1309"/>
      <c r="CO613" s="1309"/>
      <c r="CP613" s="1309"/>
      <c r="CQ613" s="1243"/>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2.95" customHeight="1" thickBot="1">
      <c r="B614" s="846"/>
      <c r="C614" s="3"/>
      <c r="AZ614" s="41"/>
      <c r="BA614" s="41"/>
      <c r="BB614" s="41"/>
      <c r="BC614" s="41"/>
      <c r="BD614" s="41"/>
      <c r="BE614" s="41"/>
      <c r="BF614" s="41"/>
      <c r="BG614" s="1242">
        <f>SUM(BG589:BH613)</f>
        <v>44</v>
      </c>
      <c r="BH614" s="1243"/>
      <c r="BI614" s="41"/>
      <c r="BJ614" s="41"/>
      <c r="BK614" s="1242">
        <f>SUM(BK589:BL613)</f>
        <v>14</v>
      </c>
      <c r="BL614" s="1243"/>
      <c r="BN614" s="41" t="s">
        <v>1794</v>
      </c>
      <c r="BO614" s="41"/>
      <c r="BP614" s="41"/>
      <c r="BQ614" s="41"/>
      <c r="BR614" s="472">
        <f>BN613*1</f>
        <v>0</v>
      </c>
      <c r="BS614" s="41"/>
      <c r="BT614" s="41"/>
      <c r="BU614" s="41"/>
      <c r="BV614" s="41"/>
      <c r="BW614" s="472">
        <f>BS613*1</f>
        <v>58</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2">
        <f>SUM(CS589:CW613)</f>
        <v>0</v>
      </c>
      <c r="CT614" s="1309"/>
      <c r="CU614" s="1309"/>
      <c r="CV614" s="1309"/>
      <c r="CW614" s="1243"/>
      <c r="CX614" s="1242">
        <f>SUM(CX589:DB613)</f>
        <v>14</v>
      </c>
      <c r="CY614" s="1309"/>
      <c r="CZ614" s="1309"/>
      <c r="DA614" s="1309"/>
      <c r="DB614" s="1243"/>
      <c r="DC614" s="1242">
        <f>SUM(DC589:DG613)</f>
        <v>0</v>
      </c>
      <c r="DD614" s="1309"/>
      <c r="DE614" s="1309"/>
      <c r="DF614" s="1309"/>
      <c r="DG614" s="1243"/>
      <c r="DH614" s="1242">
        <f>SUM(DH589:DL613)</f>
        <v>0</v>
      </c>
      <c r="DI614" s="1309"/>
      <c r="DJ614" s="1309"/>
      <c r="DK614" s="1309"/>
      <c r="DL614" s="1243"/>
      <c r="DM614" s="1242">
        <f>SUM(DM589:DQ613)</f>
        <v>0</v>
      </c>
      <c r="DN614" s="1309"/>
      <c r="DO614" s="1309"/>
      <c r="DP614" s="1309"/>
      <c r="DQ614" s="1243"/>
      <c r="DR614" s="1242">
        <f>SUM(DR589:DV613)</f>
        <v>0</v>
      </c>
      <c r="DS614" s="1309"/>
      <c r="DT614" s="1309"/>
      <c r="DU614" s="1309"/>
      <c r="DV614" s="1243"/>
    </row>
    <row r="615" spans="1:126" ht="12.95" customHeight="1" thickBot="1">
      <c r="B615" s="1093" t="s">
        <v>2311</v>
      </c>
      <c r="C615" s="1094"/>
      <c r="D615" s="1094"/>
      <c r="E615" s="1094"/>
      <c r="F615" s="1094"/>
      <c r="G615" s="1094"/>
      <c r="H615" s="1094"/>
      <c r="I615" s="1094"/>
      <c r="J615" s="1094"/>
      <c r="K615" s="1094"/>
      <c r="L615" s="1094"/>
      <c r="M615" s="1118" t="s">
        <v>2285</v>
      </c>
      <c r="N615" s="1118"/>
      <c r="O615" s="1118"/>
      <c r="P615" s="1118"/>
      <c r="Q615" s="1070" t="s">
        <v>2315</v>
      </c>
      <c r="R615" s="1071"/>
      <c r="S615" s="1072"/>
      <c r="T615" s="1070" t="s">
        <v>2314</v>
      </c>
      <c r="U615" s="1071"/>
      <c r="V615" s="1072"/>
      <c r="W615" s="1100" t="s">
        <v>774</v>
      </c>
      <c r="X615" s="1100"/>
      <c r="Y615" s="1101"/>
      <c r="Z615" s="1118" t="s">
        <v>2312</v>
      </c>
      <c r="AA615" s="1118"/>
      <c r="AB615" s="1118"/>
      <c r="AC615" s="1061" t="s">
        <v>2084</v>
      </c>
      <c r="AD615" s="1062"/>
      <c r="AE615" s="1063"/>
      <c r="AF615" s="1070" t="s">
        <v>2243</v>
      </c>
      <c r="AG615" s="1071"/>
      <c r="AH615" s="1071"/>
      <c r="AI615" s="1071"/>
      <c r="AJ615" s="1072"/>
      <c r="AK615" s="1119" t="s">
        <v>2244</v>
      </c>
      <c r="AL615" s="1120"/>
      <c r="AM615" s="1120"/>
      <c r="AN615" s="1121"/>
      <c r="AO615" s="1118" t="s">
        <v>775</v>
      </c>
      <c r="AP615" s="1118"/>
      <c r="AQ615" s="1118"/>
      <c r="AR615" s="1118"/>
      <c r="AS615" s="1118"/>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58</v>
      </c>
      <c r="CR615" s="41"/>
      <c r="CS615" s="41"/>
    </row>
    <row r="616" spans="1:126" ht="12.95" customHeight="1">
      <c r="B616" s="1095"/>
      <c r="C616" s="1096"/>
      <c r="D616" s="1096"/>
      <c r="E616" s="1096"/>
      <c r="F616" s="1096"/>
      <c r="G616" s="1096"/>
      <c r="H616" s="1096"/>
      <c r="I616" s="1096"/>
      <c r="J616" s="1096"/>
      <c r="K616" s="1096"/>
      <c r="L616" s="1096"/>
      <c r="M616" s="1118"/>
      <c r="N616" s="1118"/>
      <c r="O616" s="1118"/>
      <c r="P616" s="1118"/>
      <c r="Q616" s="1073"/>
      <c r="R616" s="1074"/>
      <c r="S616" s="1075"/>
      <c r="T616" s="1073"/>
      <c r="U616" s="1074"/>
      <c r="V616" s="1075"/>
      <c r="W616" s="1102"/>
      <c r="X616" s="1102"/>
      <c r="Y616" s="1103"/>
      <c r="Z616" s="1118"/>
      <c r="AA616" s="1118"/>
      <c r="AB616" s="1118"/>
      <c r="AC616" s="1064"/>
      <c r="AD616" s="1065"/>
      <c r="AE616" s="1066"/>
      <c r="AF616" s="1073"/>
      <c r="AG616" s="1074"/>
      <c r="AH616" s="1074"/>
      <c r="AI616" s="1074"/>
      <c r="AJ616" s="1075"/>
      <c r="AK616" s="1122"/>
      <c r="AL616" s="1123"/>
      <c r="AM616" s="1123"/>
      <c r="AN616" s="1124"/>
      <c r="AO616" s="1118"/>
      <c r="AP616" s="1118"/>
      <c r="AQ616" s="1118"/>
      <c r="AR616" s="1118"/>
      <c r="AS616" s="1118"/>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1</v>
      </c>
      <c r="BY616" s="1239"/>
      <c r="BZ616" s="1239"/>
      <c r="CA616" s="1239"/>
      <c r="CB616" s="1241"/>
      <c r="CC616" s="1238">
        <f>IF(J738="3 Bedrooms",O738,0)</f>
        <v>0</v>
      </c>
      <c r="CD616" s="1239"/>
      <c r="CE616" s="1239"/>
      <c r="CF616" s="1239"/>
      <c r="CG616" s="1241"/>
      <c r="CH616" s="1238">
        <f>IF(J738="4 Bedrooms",O738,0)</f>
        <v>0</v>
      </c>
      <c r="CI616" s="1239"/>
      <c r="CJ616" s="1239"/>
      <c r="CK616" s="1239"/>
      <c r="CL616" s="1241"/>
      <c r="CM616" s="1495">
        <f>IF(J738="5 Bedrooms",O738,0)</f>
        <v>0</v>
      </c>
      <c r="CN616" s="1496"/>
      <c r="CO616" s="1496"/>
      <c r="CP616" s="1496"/>
      <c r="CQ616" s="1240"/>
      <c r="CR616" s="41"/>
      <c r="CS616" s="41"/>
    </row>
    <row r="617" spans="1:126" ht="12.95" customHeight="1">
      <c r="B617" s="1097"/>
      <c r="C617" s="1098"/>
      <c r="D617" s="1098"/>
      <c r="E617" s="1098"/>
      <c r="F617" s="1098"/>
      <c r="G617" s="1098"/>
      <c r="H617" s="1098"/>
      <c r="I617" s="1098"/>
      <c r="J617" s="1098"/>
      <c r="K617" s="1098"/>
      <c r="L617" s="1098"/>
      <c r="M617" s="1118"/>
      <c r="N617" s="1118"/>
      <c r="O617" s="1118"/>
      <c r="P617" s="1118"/>
      <c r="Q617" s="1076"/>
      <c r="R617" s="1077"/>
      <c r="S617" s="1078"/>
      <c r="T617" s="1076"/>
      <c r="U617" s="1077"/>
      <c r="V617" s="1078"/>
      <c r="W617" s="1104"/>
      <c r="X617" s="1104"/>
      <c r="Y617" s="1105"/>
      <c r="Z617" s="1118"/>
      <c r="AA617" s="1118"/>
      <c r="AB617" s="1118"/>
      <c r="AC617" s="1067"/>
      <c r="AD617" s="1068"/>
      <c r="AE617" s="1069"/>
      <c r="AF617" s="1076"/>
      <c r="AG617" s="1077"/>
      <c r="AH617" s="1077"/>
      <c r="AI617" s="1077"/>
      <c r="AJ617" s="1078"/>
      <c r="AK617" s="1125"/>
      <c r="AL617" s="1126"/>
      <c r="AM617" s="1126"/>
      <c r="AN617" s="1127"/>
      <c r="AO617" s="1118"/>
      <c r="AP617" s="1118"/>
      <c r="AQ617" s="1118"/>
      <c r="AR617" s="1118"/>
      <c r="AS617" s="1118"/>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5">
        <f>IF(J739="5 Bedrooms",O739,0)</f>
        <v>0</v>
      </c>
      <c r="CN617" s="1496"/>
      <c r="CO617" s="1496"/>
      <c r="CP617" s="1496"/>
      <c r="CQ617" s="1240"/>
      <c r="CR617" s="41"/>
      <c r="CS617" s="41"/>
    </row>
    <row r="618" spans="1:126" ht="12.95" customHeight="1">
      <c r="B618" s="57" t="s">
        <v>942</v>
      </c>
      <c r="C618" s="1083" t="s">
        <v>2409</v>
      </c>
      <c r="D618" s="1083"/>
      <c r="E618" s="1083"/>
      <c r="F618" s="1083"/>
      <c r="G618" s="1083"/>
      <c r="H618" s="1083"/>
      <c r="I618" s="1083"/>
      <c r="J618" s="1083"/>
      <c r="K618" s="1083"/>
      <c r="L618" s="1083"/>
      <c r="M618" s="1106" t="s">
        <v>2295</v>
      </c>
      <c r="N618" s="1106"/>
      <c r="O618" s="1106"/>
      <c r="P618" s="1106"/>
      <c r="Q618" s="1055">
        <f>17*12</f>
        <v>204</v>
      </c>
      <c r="R618" s="1056"/>
      <c r="S618" s="1057"/>
      <c r="T618" s="1052">
        <f>+[1]EVERYTHING!$Q$51*12</f>
        <v>360</v>
      </c>
      <c r="U618" s="1053"/>
      <c r="V618" s="1054"/>
      <c r="W618" s="1079">
        <f>+[1]EVERYTHING!$R$51</f>
        <v>7.7499999999999999E-2</v>
      </c>
      <c r="X618" s="1080"/>
      <c r="Y618" s="1081"/>
      <c r="Z618" s="1375" t="s">
        <v>2313</v>
      </c>
      <c r="AA618" s="1376"/>
      <c r="AB618" s="1377"/>
      <c r="AC618" s="1049">
        <v>1</v>
      </c>
      <c r="AD618" s="1050"/>
      <c r="AE618" s="1051"/>
      <c r="AF618" s="1058">
        <f>+[1]EVERYTHING!$U$43</f>
        <v>46117.142857142855</v>
      </c>
      <c r="AG618" s="1059"/>
      <c r="AH618" s="1059"/>
      <c r="AI618" s="1059"/>
      <c r="AJ618" s="1060"/>
      <c r="AK618" s="1115"/>
      <c r="AL618" s="1116"/>
      <c r="AM618" s="1116"/>
      <c r="AN618" s="1117"/>
      <c r="AO618" s="1192">
        <f>+[1]EVERYTHING!$R$50</f>
        <v>531666.75881049945</v>
      </c>
      <c r="AP618" s="1192"/>
      <c r="AQ618" s="1192"/>
      <c r="AR618" s="1192"/>
      <c r="AS618" s="1192"/>
      <c r="AT618" s="953" t="str">
        <f t="shared" ref="AT618:AT629" si="17">IF(AND(NOT(C617=""),C618="",NOT(C619="")),"!","")</f>
        <v/>
      </c>
      <c r="AU618" s="43"/>
      <c r="AV618" s="43"/>
      <c r="AW618" s="43"/>
      <c r="AX618" s="43"/>
      <c r="AY618" s="43"/>
      <c r="BA618" s="41" t="s">
        <v>2071</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5">
        <f>IF(J740="5 Bedrooms",O740,0)</f>
        <v>0</v>
      </c>
      <c r="CN618" s="1496"/>
      <c r="CO618" s="1496"/>
      <c r="CP618" s="1496"/>
      <c r="CQ618" s="1240"/>
      <c r="CR618" s="41"/>
      <c r="CS618" s="41"/>
    </row>
    <row r="619" spans="1:126" ht="12.95" customHeight="1">
      <c r="B619" s="58" t="s">
        <v>943</v>
      </c>
      <c r="C619" s="1083" t="s">
        <v>2401</v>
      </c>
      <c r="D619" s="1083"/>
      <c r="E619" s="1083"/>
      <c r="F619" s="1083"/>
      <c r="G619" s="1083"/>
      <c r="H619" s="1083"/>
      <c r="I619" s="1083"/>
      <c r="J619" s="1083"/>
      <c r="K619" s="1083"/>
      <c r="L619" s="1083"/>
      <c r="M619" s="1106" t="s">
        <v>2297</v>
      </c>
      <c r="N619" s="1106"/>
      <c r="O619" s="1106"/>
      <c r="P619" s="1106"/>
      <c r="Q619" s="1055">
        <f>55*12</f>
        <v>660</v>
      </c>
      <c r="R619" s="1056"/>
      <c r="S619" s="1057"/>
      <c r="T619" s="1052"/>
      <c r="U619" s="1053"/>
      <c r="V619" s="1054"/>
      <c r="W619" s="1079">
        <v>0</v>
      </c>
      <c r="X619" s="1080"/>
      <c r="Y619" s="1081"/>
      <c r="Z619" s="1375" t="s">
        <v>824</v>
      </c>
      <c r="AA619" s="1376"/>
      <c r="AB619" s="1377"/>
      <c r="AC619" s="1049">
        <v>2</v>
      </c>
      <c r="AD619" s="1050"/>
      <c r="AE619" s="1051"/>
      <c r="AF619" s="1058"/>
      <c r="AG619" s="1059"/>
      <c r="AH619" s="1059"/>
      <c r="AI619" s="1059"/>
      <c r="AJ619" s="1060"/>
      <c r="AK619" s="1115"/>
      <c r="AL619" s="1116"/>
      <c r="AM619" s="1116"/>
      <c r="AN619" s="1117"/>
      <c r="AO619" s="1192">
        <f>+[1]EVERYTHING!$C$9</f>
        <v>6000000</v>
      </c>
      <c r="AP619" s="1192"/>
      <c r="AQ619" s="1192"/>
      <c r="AR619" s="1192"/>
      <c r="AS619" s="1192"/>
      <c r="AT619" s="953" t="str">
        <f t="shared" si="17"/>
        <v/>
      </c>
      <c r="AU619" s="43"/>
      <c r="AV619" s="43"/>
      <c r="AW619" s="43"/>
      <c r="AX619" s="43"/>
      <c r="AY619" s="43"/>
      <c r="BA619" s="41" t="s">
        <v>825</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5">
        <f>IF(J741="5 Bedrooms",O741,0)</f>
        <v>0</v>
      </c>
      <c r="CN619" s="1496"/>
      <c r="CO619" s="1496"/>
      <c r="CP619" s="1496"/>
      <c r="CQ619" s="1240"/>
      <c r="CR619" s="41"/>
      <c r="CS619" s="41"/>
    </row>
    <row r="620" spans="1:126" ht="12.95" customHeight="1">
      <c r="B620" s="58" t="s">
        <v>949</v>
      </c>
      <c r="C620" s="1083" t="s">
        <v>2410</v>
      </c>
      <c r="D620" s="1083"/>
      <c r="E620" s="1083"/>
      <c r="F620" s="1083"/>
      <c r="G620" s="1083"/>
      <c r="H620" s="1083"/>
      <c r="I620" s="1083"/>
      <c r="J620" s="1083"/>
      <c r="K620" s="1083"/>
      <c r="L620" s="1083"/>
      <c r="M620" s="1106" t="s">
        <v>2297</v>
      </c>
      <c r="N620" s="1106"/>
      <c r="O620" s="1106"/>
      <c r="P620" s="1106"/>
      <c r="Q620" s="1055">
        <f>+Q619</f>
        <v>660</v>
      </c>
      <c r="R620" s="1056"/>
      <c r="S620" s="1057"/>
      <c r="T620" s="1052"/>
      <c r="U620" s="1053"/>
      <c r="V620" s="1054"/>
      <c r="W620" s="1079">
        <v>0.03</v>
      </c>
      <c r="X620" s="1080"/>
      <c r="Y620" s="1081"/>
      <c r="Z620" s="1375" t="s">
        <v>824</v>
      </c>
      <c r="AA620" s="1376"/>
      <c r="AB620" s="1377"/>
      <c r="AC620" s="1049">
        <v>3</v>
      </c>
      <c r="AD620" s="1050"/>
      <c r="AE620" s="1051"/>
      <c r="AF620" s="1058"/>
      <c r="AG620" s="1059"/>
      <c r="AH620" s="1059"/>
      <c r="AI620" s="1059"/>
      <c r="AJ620" s="1060"/>
      <c r="AK620" s="1115"/>
      <c r="AL620" s="1116"/>
      <c r="AM620" s="1116"/>
      <c r="AN620" s="1117"/>
      <c r="AO620" s="1192">
        <f>+[1]EVERYTHING!$C$8</f>
        <v>1300000</v>
      </c>
      <c r="AP620" s="1192"/>
      <c r="AQ620" s="1192"/>
      <c r="AR620" s="1192"/>
      <c r="AS620" s="1192"/>
      <c r="AT620" s="953" t="str">
        <f t="shared" si="17"/>
        <v/>
      </c>
      <c r="AU620" s="43"/>
      <c r="AV620" s="43"/>
      <c r="AW620" s="43"/>
      <c r="AX620" s="43"/>
      <c r="AY620" s="43"/>
      <c r="AZ620" s="43"/>
      <c r="BA620" s="41" t="s">
        <v>824</v>
      </c>
      <c r="BB620" s="43"/>
      <c r="BC620" s="43"/>
      <c r="BD620" s="43"/>
      <c r="BN620" s="1497">
        <f>SUM(BN616:BR619)</f>
        <v>0</v>
      </c>
      <c r="BO620" s="1498"/>
      <c r="BP620" s="1498"/>
      <c r="BQ620" s="1498"/>
      <c r="BR620" s="1499"/>
      <c r="BS620" s="1497">
        <f>SUM(BS616:BW619)</f>
        <v>0</v>
      </c>
      <c r="BT620" s="1498"/>
      <c r="BU620" s="1498"/>
      <c r="BV620" s="1498"/>
      <c r="BW620" s="1499"/>
      <c r="BX620" s="1497">
        <f>SUM(BX616:CB619)</f>
        <v>1</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1</v>
      </c>
      <c r="CT620" s="63" t="s">
        <v>2075</v>
      </c>
      <c r="CU620" s="41"/>
    </row>
    <row r="621" spans="1:126" ht="12.95" customHeight="1">
      <c r="B621" s="58" t="s">
        <v>459</v>
      </c>
      <c r="C621" s="1083" t="s">
        <v>2403</v>
      </c>
      <c r="D621" s="1083"/>
      <c r="E621" s="1083"/>
      <c r="F621" s="1083"/>
      <c r="G621" s="1083"/>
      <c r="H621" s="1083"/>
      <c r="I621" s="1083"/>
      <c r="J621" s="1083"/>
      <c r="K621" s="1083"/>
      <c r="L621" s="1083"/>
      <c r="M621" s="1106" t="s">
        <v>2297</v>
      </c>
      <c r="N621" s="1106"/>
      <c r="O621" s="1106"/>
      <c r="P621" s="1106"/>
      <c r="Q621" s="1055">
        <f>+Q620</f>
        <v>660</v>
      </c>
      <c r="R621" s="1056"/>
      <c r="S621" s="1057"/>
      <c r="T621" s="1052"/>
      <c r="U621" s="1053"/>
      <c r="V621" s="1054"/>
      <c r="W621" s="1079">
        <v>0.03</v>
      </c>
      <c r="X621" s="1080"/>
      <c r="Y621" s="1081"/>
      <c r="Z621" s="1375" t="s">
        <v>824</v>
      </c>
      <c r="AA621" s="1376"/>
      <c r="AB621" s="1377"/>
      <c r="AC621" s="1049">
        <v>4</v>
      </c>
      <c r="AD621" s="1050"/>
      <c r="AE621" s="1051"/>
      <c r="AF621" s="1058"/>
      <c r="AG621" s="1059"/>
      <c r="AH621" s="1059"/>
      <c r="AI621" s="1059"/>
      <c r="AJ621" s="1060"/>
      <c r="AK621" s="1115"/>
      <c r="AL621" s="1116"/>
      <c r="AM621" s="1116"/>
      <c r="AN621" s="1117"/>
      <c r="AO621" s="1192">
        <f>+[1]EVERYTHING!$C$7</f>
        <v>3000000</v>
      </c>
      <c r="AP621" s="1192"/>
      <c r="AQ621" s="1192"/>
      <c r="AR621" s="1192"/>
      <c r="AS621" s="1192"/>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3" t="s">
        <v>2411</v>
      </c>
      <c r="D622" s="1083"/>
      <c r="E622" s="1083"/>
      <c r="F622" s="1083"/>
      <c r="G622" s="1083"/>
      <c r="H622" s="1083"/>
      <c r="I622" s="1083"/>
      <c r="J622" s="1083"/>
      <c r="K622" s="1083"/>
      <c r="L622" s="1083"/>
      <c r="M622" s="1106" t="s">
        <v>2310</v>
      </c>
      <c r="N622" s="1106"/>
      <c r="O622" s="1106"/>
      <c r="P622" s="1106"/>
      <c r="Q622" s="1055"/>
      <c r="R622" s="1056"/>
      <c r="S622" s="1057"/>
      <c r="T622" s="1052"/>
      <c r="U622" s="1053"/>
      <c r="V622" s="1054"/>
      <c r="W622" s="1079"/>
      <c r="X622" s="1080"/>
      <c r="Y622" s="1081"/>
      <c r="Z622" s="1375" t="s">
        <v>2071</v>
      </c>
      <c r="AA622" s="1376"/>
      <c r="AB622" s="1377"/>
      <c r="AC622" s="1049"/>
      <c r="AD622" s="1050"/>
      <c r="AE622" s="1051"/>
      <c r="AF622" s="1058"/>
      <c r="AG622" s="1059"/>
      <c r="AH622" s="1059"/>
      <c r="AI622" s="1059"/>
      <c r="AJ622" s="1060"/>
      <c r="AK622" s="1115"/>
      <c r="AL622" s="1116"/>
      <c r="AM622" s="1116"/>
      <c r="AN622" s="1117"/>
      <c r="AO622" s="1192">
        <f>+[1]EVERYTHING!$C$12</f>
        <v>381640</v>
      </c>
      <c r="AP622" s="1192"/>
      <c r="AQ622" s="1192"/>
      <c r="AR622" s="1192"/>
      <c r="AS622" s="1192"/>
      <c r="AT622" s="953" t="str">
        <f t="shared" si="17"/>
        <v/>
      </c>
      <c r="AU622" s="43"/>
      <c r="AV622" s="43"/>
      <c r="AW622" s="43"/>
      <c r="AX622" s="43"/>
      <c r="AY622" s="43"/>
      <c r="AZ622" s="43"/>
      <c r="BA622" s="41" t="s">
        <v>527</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2.95" customHeight="1">
      <c r="B623" s="58" t="s">
        <v>462</v>
      </c>
      <c r="C623" s="1083" t="s">
        <v>2424</v>
      </c>
      <c r="D623" s="1083"/>
      <c r="E623" s="1083"/>
      <c r="F623" s="1083"/>
      <c r="G623" s="1083"/>
      <c r="H623" s="1083"/>
      <c r="I623" s="1083"/>
      <c r="J623" s="1083"/>
      <c r="K623" s="1083"/>
      <c r="L623" s="1083"/>
      <c r="M623" s="1106" t="s">
        <v>2308</v>
      </c>
      <c r="N623" s="1106"/>
      <c r="O623" s="1106"/>
      <c r="P623" s="1106"/>
      <c r="Q623" s="1055"/>
      <c r="R623" s="1056"/>
      <c r="S623" s="1057"/>
      <c r="T623" s="1052"/>
      <c r="U623" s="1053"/>
      <c r="V623" s="1054"/>
      <c r="W623" s="1079"/>
      <c r="X623" s="1080"/>
      <c r="Y623" s="1081"/>
      <c r="Z623" s="1375" t="s">
        <v>2071</v>
      </c>
      <c r="AA623" s="1376"/>
      <c r="AB623" s="1377"/>
      <c r="AC623" s="1049"/>
      <c r="AD623" s="1050"/>
      <c r="AE623" s="1051"/>
      <c r="AF623" s="1058"/>
      <c r="AG623" s="1059"/>
      <c r="AH623" s="1059"/>
      <c r="AI623" s="1059"/>
      <c r="AJ623" s="1060"/>
      <c r="AK623" s="1115"/>
      <c r="AL623" s="1116"/>
      <c r="AM623" s="1116"/>
      <c r="AN623" s="1117"/>
      <c r="AO623" s="1192">
        <f>+[1]EVERYTHING!$C$11</f>
        <v>1424079</v>
      </c>
      <c r="AP623" s="1192"/>
      <c r="AQ623" s="1192"/>
      <c r="AR623" s="1192"/>
      <c r="AS623" s="1192"/>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2.95" customHeight="1">
      <c r="B624" s="58" t="s">
        <v>776</v>
      </c>
      <c r="C624" s="1083" t="s">
        <v>2412</v>
      </c>
      <c r="D624" s="1083"/>
      <c r="E624" s="1083"/>
      <c r="F624" s="1083"/>
      <c r="G624" s="1083"/>
      <c r="H624" s="1083"/>
      <c r="I624" s="1083"/>
      <c r="J624" s="1083"/>
      <c r="K624" s="1083"/>
      <c r="L624" s="1083"/>
      <c r="M624" s="1106" t="s">
        <v>2299</v>
      </c>
      <c r="N624" s="1106"/>
      <c r="O624" s="1106"/>
      <c r="P624" s="1106"/>
      <c r="Q624" s="1055">
        <f>+Q621</f>
        <v>660</v>
      </c>
      <c r="R624" s="1056"/>
      <c r="S624" s="1057"/>
      <c r="T624" s="1052"/>
      <c r="U624" s="1053"/>
      <c r="V624" s="1054"/>
      <c r="W624" s="1079">
        <v>0.03</v>
      </c>
      <c r="X624" s="1080"/>
      <c r="Y624" s="1081"/>
      <c r="Z624" s="1375" t="s">
        <v>824</v>
      </c>
      <c r="AA624" s="1376"/>
      <c r="AB624" s="1377"/>
      <c r="AC624" s="1049">
        <v>6</v>
      </c>
      <c r="AD624" s="1050"/>
      <c r="AE624" s="1051"/>
      <c r="AF624" s="1058"/>
      <c r="AG624" s="1059"/>
      <c r="AH624" s="1059"/>
      <c r="AI624" s="1059"/>
      <c r="AJ624" s="1060"/>
      <c r="AK624" s="1115"/>
      <c r="AL624" s="1116"/>
      <c r="AM624" s="1116"/>
      <c r="AN624" s="1117"/>
      <c r="AO624" s="1192">
        <f>+[1]EVERYTHING!$C$13</f>
        <v>216780</v>
      </c>
      <c r="AP624" s="1192"/>
      <c r="AQ624" s="1192"/>
      <c r="AR624" s="1192"/>
      <c r="AS624" s="1192"/>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2.95" customHeight="1">
      <c r="B625" s="58" t="s">
        <v>777</v>
      </c>
      <c r="C625" s="1083" t="s">
        <v>2413</v>
      </c>
      <c r="D625" s="1083"/>
      <c r="E625" s="1083"/>
      <c r="F625" s="1083"/>
      <c r="G625" s="1083"/>
      <c r="H625" s="1083"/>
      <c r="I625" s="1083"/>
      <c r="J625" s="1083"/>
      <c r="K625" s="1083"/>
      <c r="L625" s="1083"/>
      <c r="M625" s="1106" t="s">
        <v>2288</v>
      </c>
      <c r="N625" s="1106"/>
      <c r="O625" s="1106"/>
      <c r="P625" s="1106"/>
      <c r="Q625" s="1055"/>
      <c r="R625" s="1056"/>
      <c r="S625" s="1057"/>
      <c r="T625" s="1052"/>
      <c r="U625" s="1053"/>
      <c r="V625" s="1054"/>
      <c r="W625" s="1079"/>
      <c r="X625" s="1080"/>
      <c r="Y625" s="1081"/>
      <c r="Z625" s="1375" t="s">
        <v>527</v>
      </c>
      <c r="AA625" s="1376"/>
      <c r="AB625" s="1377"/>
      <c r="AC625" s="1049">
        <v>5</v>
      </c>
      <c r="AD625" s="1050"/>
      <c r="AE625" s="1051"/>
      <c r="AF625" s="1058"/>
      <c r="AG625" s="1059"/>
      <c r="AH625" s="1059"/>
      <c r="AI625" s="1059"/>
      <c r="AJ625" s="1060"/>
      <c r="AK625" s="1115"/>
      <c r="AL625" s="1116"/>
      <c r="AM625" s="1116"/>
      <c r="AN625" s="1117"/>
      <c r="AO625" s="1192">
        <v>367518</v>
      </c>
      <c r="AP625" s="1192"/>
      <c r="AQ625" s="1192"/>
      <c r="AR625" s="1192"/>
      <c r="AS625" s="1192"/>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2.95" customHeight="1">
      <c r="B626" s="58" t="s">
        <v>575</v>
      </c>
      <c r="C626" s="1083" t="s">
        <v>2406</v>
      </c>
      <c r="D626" s="1083"/>
      <c r="E626" s="1083"/>
      <c r="F626" s="1083"/>
      <c r="G626" s="1083"/>
      <c r="H626" s="1083"/>
      <c r="I626" s="1083"/>
      <c r="J626" s="1083"/>
      <c r="K626" s="1083"/>
      <c r="L626" s="1083"/>
      <c r="M626" s="1106" t="s">
        <v>2291</v>
      </c>
      <c r="N626" s="1106"/>
      <c r="O626" s="1106"/>
      <c r="P626" s="1106"/>
      <c r="Q626" s="1055"/>
      <c r="R626" s="1056"/>
      <c r="S626" s="1057"/>
      <c r="T626" s="1052"/>
      <c r="U626" s="1053"/>
      <c r="V626" s="1054"/>
      <c r="W626" s="1079"/>
      <c r="X626" s="1080"/>
      <c r="Y626" s="1081"/>
      <c r="Z626" s="1375" t="s">
        <v>527</v>
      </c>
      <c r="AA626" s="1376"/>
      <c r="AB626" s="1377"/>
      <c r="AC626" s="1049"/>
      <c r="AD626" s="1050"/>
      <c r="AE626" s="1051"/>
      <c r="AF626" s="1058"/>
      <c r="AG626" s="1059"/>
      <c r="AH626" s="1059"/>
      <c r="AI626" s="1059"/>
      <c r="AJ626" s="1060"/>
      <c r="AK626" s="1115"/>
      <c r="AL626" s="1116"/>
      <c r="AM626" s="1116"/>
      <c r="AN626" s="1117"/>
      <c r="AO626" s="1192">
        <f>+[1]EVERYTHING!$C$15</f>
        <v>100</v>
      </c>
      <c r="AP626" s="1192"/>
      <c r="AQ626" s="1192"/>
      <c r="AR626" s="1192"/>
      <c r="AS626" s="1192"/>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2.95" customHeight="1">
      <c r="B627" s="58" t="s">
        <v>185</v>
      </c>
      <c r="C627" s="1083"/>
      <c r="D627" s="1083"/>
      <c r="E627" s="1083"/>
      <c r="F627" s="1083"/>
      <c r="G627" s="1083"/>
      <c r="H627" s="1083"/>
      <c r="I627" s="1083"/>
      <c r="J627" s="1083"/>
      <c r="K627" s="1083"/>
      <c r="L627" s="1083"/>
      <c r="M627" s="1106" t="s">
        <v>2071</v>
      </c>
      <c r="N627" s="1106"/>
      <c r="O627" s="1106"/>
      <c r="P627" s="1106"/>
      <c r="Q627" s="1055"/>
      <c r="R627" s="1056"/>
      <c r="S627" s="1057"/>
      <c r="T627" s="1052"/>
      <c r="U627" s="1053"/>
      <c r="V627" s="1054"/>
      <c r="W627" s="1079"/>
      <c r="X627" s="1080"/>
      <c r="Y627" s="1081"/>
      <c r="Z627" s="1375" t="s">
        <v>2071</v>
      </c>
      <c r="AA627" s="1376"/>
      <c r="AB627" s="1377"/>
      <c r="AC627" s="1049"/>
      <c r="AD627" s="1050"/>
      <c r="AE627" s="1051"/>
      <c r="AF627" s="1058"/>
      <c r="AG627" s="1059"/>
      <c r="AH627" s="1059"/>
      <c r="AI627" s="1059"/>
      <c r="AJ627" s="1060"/>
      <c r="AK627" s="1115"/>
      <c r="AL627" s="1116"/>
      <c r="AM627" s="1116"/>
      <c r="AN627" s="1117"/>
      <c r="AO627" s="1192"/>
      <c r="AP627" s="1192"/>
      <c r="AQ627" s="1192"/>
      <c r="AR627" s="1192"/>
      <c r="AS627" s="1192"/>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2.95" customHeight="1">
      <c r="B628" s="58" t="s">
        <v>36</v>
      </c>
      <c r="C628" s="1083"/>
      <c r="D628" s="1083"/>
      <c r="E628" s="1083"/>
      <c r="F628" s="1083"/>
      <c r="G628" s="1083"/>
      <c r="H628" s="1083"/>
      <c r="I628" s="1083"/>
      <c r="J628" s="1083"/>
      <c r="K628" s="1083"/>
      <c r="L628" s="1083"/>
      <c r="M628" s="1106" t="s">
        <v>2071</v>
      </c>
      <c r="N628" s="1106"/>
      <c r="O628" s="1106"/>
      <c r="P628" s="1106"/>
      <c r="Q628" s="1055"/>
      <c r="R628" s="1056"/>
      <c r="S628" s="1057"/>
      <c r="T628" s="1052"/>
      <c r="U628" s="1053"/>
      <c r="V628" s="1054"/>
      <c r="W628" s="1079"/>
      <c r="X628" s="1080"/>
      <c r="Y628" s="1081"/>
      <c r="Z628" s="1375" t="s">
        <v>2071</v>
      </c>
      <c r="AA628" s="1376"/>
      <c r="AB628" s="1377"/>
      <c r="AC628" s="1049"/>
      <c r="AD628" s="1050"/>
      <c r="AE628" s="1051"/>
      <c r="AF628" s="1058"/>
      <c r="AG628" s="1059"/>
      <c r="AH628" s="1059"/>
      <c r="AI628" s="1059"/>
      <c r="AJ628" s="1060"/>
      <c r="AK628" s="1115"/>
      <c r="AL628" s="1116"/>
      <c r="AM628" s="1116"/>
      <c r="AN628" s="1117"/>
      <c r="AO628" s="1192"/>
      <c r="AP628" s="1192"/>
      <c r="AQ628" s="1192"/>
      <c r="AR628" s="1192"/>
      <c r="AS628" s="1192"/>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2.95" customHeight="1">
      <c r="B629" s="58" t="s">
        <v>37</v>
      </c>
      <c r="C629" s="1083"/>
      <c r="D629" s="1083"/>
      <c r="E629" s="1083"/>
      <c r="F629" s="1083"/>
      <c r="G629" s="1083"/>
      <c r="H629" s="1083"/>
      <c r="I629" s="1083"/>
      <c r="J629" s="1083"/>
      <c r="K629" s="1083"/>
      <c r="L629" s="1083"/>
      <c r="M629" s="1106" t="s">
        <v>2071</v>
      </c>
      <c r="N629" s="1106"/>
      <c r="O629" s="1106"/>
      <c r="P629" s="1106"/>
      <c r="Q629" s="1055"/>
      <c r="R629" s="1056"/>
      <c r="S629" s="1057"/>
      <c r="T629" s="1052"/>
      <c r="U629" s="1053"/>
      <c r="V629" s="1054"/>
      <c r="W629" s="1079"/>
      <c r="X629" s="1080"/>
      <c r="Y629" s="1081"/>
      <c r="Z629" s="1375" t="s">
        <v>2071</v>
      </c>
      <c r="AA629" s="1376"/>
      <c r="AB629" s="1377"/>
      <c r="AC629" s="1049"/>
      <c r="AD629" s="1050"/>
      <c r="AE629" s="1051"/>
      <c r="AF629" s="1058"/>
      <c r="AG629" s="1059"/>
      <c r="AH629" s="1059"/>
      <c r="AI629" s="1059"/>
      <c r="AJ629" s="1060"/>
      <c r="AK629" s="1115"/>
      <c r="AL629" s="1116"/>
      <c r="AM629" s="1116"/>
      <c r="AN629" s="1117"/>
      <c r="AO629" s="1192"/>
      <c r="AP629" s="1192"/>
      <c r="AQ629" s="1192"/>
      <c r="AR629" s="1192"/>
      <c r="AS629" s="1192"/>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2.95"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8">
        <f>SUM(AO618:AS629)</f>
        <v>13221783.7588105</v>
      </c>
      <c r="AP630" s="1149"/>
      <c r="AQ630" s="1149"/>
      <c r="AR630" s="1149"/>
      <c r="AS630" s="1150"/>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2.95"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2">
        <v>24645860.5</v>
      </c>
      <c r="AP631" s="1143"/>
      <c r="AQ631" s="1143"/>
      <c r="AR631" s="1143"/>
      <c r="AS631" s="1144"/>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2.95" customHeight="1">
      <c r="B632" s="1373" t="s">
        <v>982</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4"/>
      <c r="AO632" s="1148">
        <f>AO630+AO631</f>
        <v>37867644.258810498</v>
      </c>
      <c r="AP632" s="1149"/>
      <c r="AQ632" s="1149"/>
      <c r="AR632" s="1149"/>
      <c r="AS632" s="1150"/>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291" t="str">
        <f>C618</f>
        <v xml:space="preserve">Permanent Loan </v>
      </c>
      <c r="H634" s="1291"/>
      <c r="I634" s="1291"/>
      <c r="J634" s="1291"/>
      <c r="K634" s="1291"/>
      <c r="L634" s="1291"/>
      <c r="M634" s="1291"/>
      <c r="N634" s="1291"/>
      <c r="O634" s="1291"/>
      <c r="P634" s="1291"/>
      <c r="Q634" s="1291"/>
      <c r="R634" s="1291"/>
      <c r="S634" s="12"/>
      <c r="T634" s="61" t="s">
        <v>943</v>
      </c>
      <c r="U634" t="s">
        <v>90</v>
      </c>
      <c r="Z634" s="1291" t="str">
        <f>C619</f>
        <v>HCD LGMG</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084" t="str">
        <f>G561</f>
        <v>560 Mission Street, 4th Floor</v>
      </c>
      <c r="H635" s="1084"/>
      <c r="I635" s="1084"/>
      <c r="J635" s="1084"/>
      <c r="K635" s="1084"/>
      <c r="L635" s="1084"/>
      <c r="M635" s="1084"/>
      <c r="N635" s="1084"/>
      <c r="O635" s="1084"/>
      <c r="P635" s="1084"/>
      <c r="Q635" s="1084"/>
      <c r="R635" s="1084"/>
      <c r="S635" s="12"/>
      <c r="T635" s="4"/>
      <c r="U635" t="s">
        <v>396</v>
      </c>
      <c r="Z635" s="1084" t="str">
        <f>Z561</f>
        <v>2020 W. El Camino Avenue, Suite 200,</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4" t="str">
        <f>G562</f>
        <v>San Francisco</v>
      </c>
      <c r="H636" s="1084"/>
      <c r="I636" s="1084"/>
      <c r="J636" s="1084"/>
      <c r="K636" s="1084"/>
      <c r="L636" s="1084"/>
      <c r="M636" s="1084"/>
      <c r="N636" s="1084"/>
      <c r="O636" s="1084"/>
      <c r="P636" s="1084"/>
      <c r="Q636" s="1084"/>
      <c r="R636" s="1084"/>
      <c r="T636" s="4"/>
      <c r="U636" t="s">
        <v>458</v>
      </c>
      <c r="Z636" s="1085" t="str">
        <f>Z562</f>
        <v>Sacramento</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1798</v>
      </c>
      <c r="CQ636" s="473">
        <f>CQ634+CQ615</f>
        <v>58</v>
      </c>
      <c r="CR636" s="41"/>
      <c r="CS636" s="41"/>
    </row>
    <row r="637" spans="1:97" ht="12.95" customHeight="1">
      <c r="A637" s="4"/>
      <c r="B637" t="s">
        <v>872</v>
      </c>
      <c r="G637" s="1084" t="str">
        <f>G563</f>
        <v>James Vossoughi</v>
      </c>
      <c r="H637" s="1084"/>
      <c r="I637" s="1084"/>
      <c r="J637" s="1084"/>
      <c r="K637" s="1084"/>
      <c r="L637" s="1084"/>
      <c r="M637" s="1084"/>
      <c r="N637" s="1084"/>
      <c r="O637" s="1084"/>
      <c r="P637" s="1084"/>
      <c r="Q637" s="1084"/>
      <c r="R637" s="1084"/>
      <c r="S637" s="12"/>
      <c r="T637" s="4"/>
      <c r="U637" t="s">
        <v>872</v>
      </c>
      <c r="Z637" s="1085" t="str">
        <f>Z563</f>
        <v>Rebecca Hersch</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08" t="str">
        <f>G564</f>
        <v>(415) 315-6708</v>
      </c>
      <c r="H638" s="1108"/>
      <c r="I638" s="1108"/>
      <c r="J638" s="1108"/>
      <c r="K638" s="1108"/>
      <c r="L638" s="1108"/>
      <c r="O638" s="42" t="s">
        <v>857</v>
      </c>
      <c r="P638" s="1280"/>
      <c r="Q638" s="1280"/>
      <c r="R638" s="1280"/>
      <c r="S638" s="14"/>
      <c r="T638" s="4"/>
      <c r="U638" t="s">
        <v>684</v>
      </c>
      <c r="Z638" s="1108" t="str">
        <f>Z564</f>
        <v>(916) 263-2771</v>
      </c>
      <c r="AA638" s="1108"/>
      <c r="AB638" s="1108"/>
      <c r="AC638" s="1108"/>
      <c r="AD638" s="1108"/>
      <c r="AE638" s="1108"/>
      <c r="AH638" s="42" t="s">
        <v>857</v>
      </c>
      <c r="AI638" s="1280"/>
      <c r="AJ638" s="1280"/>
      <c r="AK638" s="1280"/>
      <c r="AM638" s="43"/>
      <c r="AN638" s="43"/>
      <c r="AO638" s="43"/>
      <c r="AP638" s="43"/>
      <c r="AQ638" s="43"/>
      <c r="AR638" s="43"/>
      <c r="AS638" s="43"/>
      <c r="AT638" s="43"/>
      <c r="AU638" s="43"/>
      <c r="AV638" s="43"/>
      <c r="AW638" s="43"/>
      <c r="AX638" s="43"/>
      <c r="AY638" s="43"/>
      <c r="AZ638" s="43"/>
      <c r="BN638" s="1497">
        <f>BN613+BN620+BN632</f>
        <v>0</v>
      </c>
      <c r="BO638" s="1498"/>
      <c r="BP638" s="1498"/>
      <c r="BQ638" s="1498"/>
      <c r="BR638" s="1499"/>
      <c r="BS638" s="1497">
        <f>BS613+BS620+BS632</f>
        <v>58</v>
      </c>
      <c r="BT638" s="1498"/>
      <c r="BU638" s="1498"/>
      <c r="BV638" s="1498"/>
      <c r="BW638" s="1499"/>
      <c r="BX638" s="1497">
        <f>BX613+BX620+BX632</f>
        <v>1</v>
      </c>
      <c r="BY638" s="1498"/>
      <c r="BZ638" s="1498"/>
      <c r="CA638" s="1498"/>
      <c r="CB638" s="1499"/>
      <c r="CC638" s="1497">
        <f>CC613+CC620+CC632</f>
        <v>0</v>
      </c>
      <c r="CD638" s="1498"/>
      <c r="CE638" s="1498"/>
      <c r="CF638" s="1498"/>
      <c r="CG638" s="1499"/>
      <c r="CH638" s="1497">
        <f>CH613+CH620+CH632</f>
        <v>0</v>
      </c>
      <c r="CI638" s="1498"/>
      <c r="CJ638" s="1498"/>
      <c r="CK638" s="1498"/>
      <c r="CL638" s="1499"/>
      <c r="CM638" s="1242">
        <f>CM632+CM620+CM613</f>
        <v>0</v>
      </c>
      <c r="CN638" s="1309"/>
      <c r="CO638" s="1309"/>
      <c r="CP638" s="1309"/>
      <c r="CQ638" s="1243"/>
      <c r="CR638" s="41"/>
      <c r="CS638" s="41"/>
    </row>
    <row r="639" spans="1:97" ht="12.95" customHeight="1">
      <c r="A639" s="4"/>
      <c r="B639" t="s">
        <v>873</v>
      </c>
      <c r="H639" s="1084" t="str">
        <f>H565</f>
        <v>construction and perm financing</v>
      </c>
      <c r="I639" s="1084"/>
      <c r="J639" s="1084"/>
      <c r="K639" s="1084"/>
      <c r="L639" s="1084"/>
      <c r="M639" s="1084"/>
      <c r="N639" s="1084"/>
      <c r="O639" s="1084"/>
      <c r="P639" s="1084"/>
      <c r="Q639" s="1084"/>
      <c r="R639" s="1084"/>
      <c r="S639" s="12"/>
      <c r="T639" s="4"/>
      <c r="U639" t="s">
        <v>873</v>
      </c>
      <c r="AA639" s="1084" t="str">
        <f>AA565</f>
        <v>Soft Loan</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09" t="s">
        <v>116</v>
      </c>
      <c r="O640" s="1109"/>
      <c r="T640" s="4"/>
      <c r="U640" t="s">
        <v>875</v>
      </c>
      <c r="AG640" s="1109" t="s">
        <v>116</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291" t="str">
        <f>C620</f>
        <v xml:space="preserve">County Loan </v>
      </c>
      <c r="H642" s="1291"/>
      <c r="I642" s="1291"/>
      <c r="J642" s="1291"/>
      <c r="K642" s="1291"/>
      <c r="L642" s="1291"/>
      <c r="M642" s="1291"/>
      <c r="N642" s="1291"/>
      <c r="O642" s="1291"/>
      <c r="P642" s="1291"/>
      <c r="Q642" s="1291"/>
      <c r="R642" s="1291"/>
      <c r="T642" s="61" t="s">
        <v>459</v>
      </c>
      <c r="U642" t="s">
        <v>90</v>
      </c>
      <c r="Z642" s="1291" t="str">
        <f>C621</f>
        <v xml:space="preserve">City HOME </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4" t="str">
        <f>G569</f>
        <v>5555 Arlington Ave</v>
      </c>
      <c r="H643" s="1084"/>
      <c r="I643" s="1084"/>
      <c r="J643" s="1084"/>
      <c r="K643" s="1084"/>
      <c r="L643" s="1084"/>
      <c r="M643" s="1084"/>
      <c r="N643" s="1084"/>
      <c r="O643" s="1084"/>
      <c r="P643" s="1084"/>
      <c r="Q643" s="1084"/>
      <c r="R643" s="1084"/>
      <c r="T643" s="4"/>
      <c r="U643" t="s">
        <v>396</v>
      </c>
      <c r="Z643" s="1084" t="str">
        <f>Z569</f>
        <v>3900 Main Street</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5" t="str">
        <f>G570</f>
        <v>Riverside</v>
      </c>
      <c r="H644" s="1085"/>
      <c r="I644" s="1085"/>
      <c r="J644" s="1085"/>
      <c r="K644" s="1085"/>
      <c r="L644" s="1085"/>
      <c r="M644" s="1085"/>
      <c r="N644" s="1085"/>
      <c r="O644" s="1085"/>
      <c r="P644" s="1085"/>
      <c r="Q644" s="1085"/>
      <c r="R644" s="1085"/>
      <c r="T644" s="4"/>
      <c r="U644" t="s">
        <v>458</v>
      </c>
      <c r="Z644" s="1085" t="str">
        <f>Z570</f>
        <v>Riverside</v>
      </c>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085" t="str">
        <f>G571</f>
        <v>Nicole Sanchez</v>
      </c>
      <c r="H645" s="1085"/>
      <c r="I645" s="1085"/>
      <c r="J645" s="1085"/>
      <c r="K645" s="1085"/>
      <c r="L645" s="1085"/>
      <c r="M645" s="1085"/>
      <c r="N645" s="1085"/>
      <c r="O645" s="1085"/>
      <c r="P645" s="1085"/>
      <c r="Q645" s="1085"/>
      <c r="R645" s="1085"/>
      <c r="T645" s="4"/>
      <c r="U645" t="s">
        <v>872</v>
      </c>
      <c r="Z645" s="1085" t="str">
        <f>Z571</f>
        <v>Michelle Davis</v>
      </c>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08" t="str">
        <f>G572</f>
        <v>760-863-2825</v>
      </c>
      <c r="H646" s="1108"/>
      <c r="I646" s="1108"/>
      <c r="J646" s="1108"/>
      <c r="K646" s="1108"/>
      <c r="L646" s="1108"/>
      <c r="O646" s="42" t="s">
        <v>857</v>
      </c>
      <c r="P646" s="1280"/>
      <c r="Q646" s="1280"/>
      <c r="R646" s="1280"/>
      <c r="T646" s="4"/>
      <c r="U646" t="s">
        <v>684</v>
      </c>
      <c r="Z646" s="1108" t="str">
        <f>Z572</f>
        <v>(951) 826-5743</v>
      </c>
      <c r="AA646" s="1108"/>
      <c r="AB646" s="1108"/>
      <c r="AC646" s="1108"/>
      <c r="AD646" s="1108"/>
      <c r="AE646" s="1108"/>
      <c r="AH646" s="42" t="s">
        <v>857</v>
      </c>
      <c r="AI646" s="1280"/>
      <c r="AJ646" s="1280"/>
      <c r="AK646" s="128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084" t="str">
        <f>H573</f>
        <v>construction and perm financing</v>
      </c>
      <c r="I647" s="1084"/>
      <c r="J647" s="1084"/>
      <c r="K647" s="1084"/>
      <c r="L647" s="1084"/>
      <c r="M647" s="1084"/>
      <c r="N647" s="1084"/>
      <c r="O647" s="1084"/>
      <c r="P647" s="1084"/>
      <c r="Q647" s="1084"/>
      <c r="R647" s="1084"/>
      <c r="T647" s="4"/>
      <c r="U647" t="s">
        <v>873</v>
      </c>
      <c r="AA647" s="1084" t="str">
        <f>AA573</f>
        <v>Soft Loan</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09" t="s">
        <v>116</v>
      </c>
      <c r="O648" s="1109"/>
      <c r="T648" s="4"/>
      <c r="U648" t="s">
        <v>875</v>
      </c>
      <c r="AG648" s="1109" t="s">
        <v>116</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1" t="str">
        <f>C622</f>
        <v>TUMF Fee Waiver</v>
      </c>
      <c r="H650" s="1291"/>
      <c r="I650" s="1291"/>
      <c r="J650" s="1291"/>
      <c r="K650" s="1291"/>
      <c r="L650" s="1291"/>
      <c r="M650" s="1291"/>
      <c r="N650" s="1291"/>
      <c r="O650" s="1291"/>
      <c r="P650" s="1291"/>
      <c r="Q650" s="1291"/>
      <c r="R650" s="1291"/>
      <c r="T650" s="61" t="s">
        <v>462</v>
      </c>
      <c r="U650" t="s">
        <v>90</v>
      </c>
      <c r="Z650" s="1291" t="str">
        <f>C623</f>
        <v>Land Donation</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4" t="str">
        <f>G577</f>
        <v>3900 Main Street</v>
      </c>
      <c r="H651" s="1084"/>
      <c r="I651" s="1084"/>
      <c r="J651" s="1084"/>
      <c r="K651" s="1084"/>
      <c r="L651" s="1084"/>
      <c r="M651" s="1084"/>
      <c r="N651" s="1084"/>
      <c r="O651" s="1084"/>
      <c r="P651" s="1084"/>
      <c r="Q651" s="1084"/>
      <c r="R651" s="1084"/>
      <c r="T651" s="4"/>
      <c r="U651" t="s">
        <v>396</v>
      </c>
      <c r="Z651" s="1084" t="str">
        <f>Z577</f>
        <v>707 3rd Street</v>
      </c>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4" t="str">
        <f>G578</f>
        <v>Riverside</v>
      </c>
      <c r="H652" s="1084"/>
      <c r="I652" s="1084"/>
      <c r="J652" s="1084"/>
      <c r="K652" s="1084"/>
      <c r="L652" s="1084"/>
      <c r="M652" s="1084"/>
      <c r="N652" s="1084"/>
      <c r="O652" s="1084"/>
      <c r="P652" s="1084"/>
      <c r="Q652" s="1084"/>
      <c r="R652" s="1084"/>
      <c r="T652" s="4"/>
      <c r="U652" t="s">
        <v>458</v>
      </c>
      <c r="Z652" s="1085" t="str">
        <f>Z578</f>
        <v>West Sacramento</v>
      </c>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84" t="str">
        <f>G579</f>
        <v>Chris Scully</v>
      </c>
      <c r="H653" s="1084"/>
      <c r="I653" s="1084"/>
      <c r="J653" s="1084"/>
      <c r="K653" s="1084"/>
      <c r="L653" s="1084"/>
      <c r="M653" s="1084"/>
      <c r="N653" s="1084"/>
      <c r="O653" s="1084"/>
      <c r="P653" s="1084"/>
      <c r="Q653" s="1084"/>
      <c r="R653" s="1084"/>
      <c r="T653" s="4"/>
      <c r="U653" t="s">
        <v>872</v>
      </c>
      <c r="Z653" s="1085" t="str">
        <f>Z579</f>
        <v>Jason Kenney</v>
      </c>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08" t="str">
        <f>G580</f>
        <v>(951) 826-5345</v>
      </c>
      <c r="H654" s="1108"/>
      <c r="I654" s="1108"/>
      <c r="J654" s="1108"/>
      <c r="K654" s="1108"/>
      <c r="L654" s="1108"/>
      <c r="O654" s="42" t="s">
        <v>857</v>
      </c>
      <c r="P654" s="1280"/>
      <c r="Q654" s="1280"/>
      <c r="R654" s="1280"/>
      <c r="T654" s="4"/>
      <c r="U654" t="s">
        <v>684</v>
      </c>
      <c r="Z654" s="1108" t="str">
        <f>Z580</f>
        <v>(916) 376-5000</v>
      </c>
      <c r="AA654" s="1108"/>
      <c r="AB654" s="1108"/>
      <c r="AC654" s="1108"/>
      <c r="AD654" s="1108"/>
      <c r="AE654" s="1108"/>
      <c r="AH654" s="42" t="s">
        <v>857</v>
      </c>
      <c r="AI654" s="1280"/>
      <c r="AJ654" s="1280"/>
      <c r="AK654" s="128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84" t="str">
        <f>H581</f>
        <v>Fee waiver</v>
      </c>
      <c r="I655" s="1084"/>
      <c r="J655" s="1084"/>
      <c r="K655" s="1084"/>
      <c r="L655" s="1084"/>
      <c r="M655" s="1084"/>
      <c r="N655" s="1084"/>
      <c r="O655" s="1084"/>
      <c r="P655" s="1084"/>
      <c r="Q655" s="1084"/>
      <c r="R655" s="1084"/>
      <c r="T655" s="4"/>
      <c r="U655" t="s">
        <v>873</v>
      </c>
      <c r="AA655" s="1084" t="str">
        <f>AA581</f>
        <v>Contributed/Donated Land Value</v>
      </c>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09" t="s">
        <v>116</v>
      </c>
      <c r="O656" s="1109"/>
      <c r="T656" s="4"/>
      <c r="U656" t="s">
        <v>875</v>
      </c>
      <c r="AG656" s="1109" t="s">
        <v>116</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291" t="str">
        <f>C624</f>
        <v xml:space="preserve">Sponsor Loan - CEC Build Grant </v>
      </c>
      <c r="H658" s="1291"/>
      <c r="I658" s="1291"/>
      <c r="J658" s="1291"/>
      <c r="K658" s="1291"/>
      <c r="L658" s="1291"/>
      <c r="M658" s="1291"/>
      <c r="N658" s="1291"/>
      <c r="O658" s="1291"/>
      <c r="P658" s="1291"/>
      <c r="Q658" s="1291"/>
      <c r="R658" s="1291"/>
      <c r="T658" s="61" t="s">
        <v>777</v>
      </c>
      <c r="U658" t="s">
        <v>90</v>
      </c>
      <c r="Z658" s="1291" t="str">
        <f>C625</f>
        <v xml:space="preserve">Deferred Developer Fee </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4" t="str">
        <f>G585</f>
        <v>715 P Street</v>
      </c>
      <c r="H659" s="1084"/>
      <c r="I659" s="1084"/>
      <c r="J659" s="1084"/>
      <c r="K659" s="1084"/>
      <c r="L659" s="1084"/>
      <c r="M659" s="1084"/>
      <c r="N659" s="1084"/>
      <c r="O659" s="1084"/>
      <c r="P659" s="1084"/>
      <c r="Q659" s="1084"/>
      <c r="R659" s="1084"/>
      <c r="T659" s="4"/>
      <c r="U659" t="s">
        <v>396</v>
      </c>
      <c r="Z659" s="1084" t="str">
        <f>Z585</f>
        <v>22645 Grand Street</v>
      </c>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4" t="str">
        <f>G586</f>
        <v>Sacramento</v>
      </c>
      <c r="H660" s="1084"/>
      <c r="I660" s="1084"/>
      <c r="J660" s="1084"/>
      <c r="K660" s="1084"/>
      <c r="L660" s="1084"/>
      <c r="M660" s="1084"/>
      <c r="N660" s="1084"/>
      <c r="O660" s="1084"/>
      <c r="P660" s="1084"/>
      <c r="Q660" s="1084"/>
      <c r="R660" s="1084"/>
      <c r="T660" s="4"/>
      <c r="U660" t="s">
        <v>458</v>
      </c>
      <c r="Z660" s="1085" t="str">
        <f>Z586</f>
        <v>Hayward</v>
      </c>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84" t="str">
        <f>G587</f>
        <v>Susan Mills</v>
      </c>
      <c r="H661" s="1084"/>
      <c r="I661" s="1084"/>
      <c r="J661" s="1084"/>
      <c r="K661" s="1084"/>
      <c r="L661" s="1084"/>
      <c r="M661" s="1084"/>
      <c r="N661" s="1084"/>
      <c r="O661" s="1084"/>
      <c r="P661" s="1084"/>
      <c r="Q661" s="1084"/>
      <c r="R661" s="1084"/>
      <c r="T661" s="4"/>
      <c r="U661" t="s">
        <v>872</v>
      </c>
      <c r="Z661" s="1085" t="str">
        <f>Z587</f>
        <v>Andrea Osgood</v>
      </c>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08" t="str">
        <f>G588</f>
        <v>800-555-7794</v>
      </c>
      <c r="H662" s="1108"/>
      <c r="I662" s="1108"/>
      <c r="J662" s="1108"/>
      <c r="K662" s="1108"/>
      <c r="L662" s="1108"/>
      <c r="O662" s="42" t="s">
        <v>857</v>
      </c>
      <c r="P662" s="1280"/>
      <c r="Q662" s="1280"/>
      <c r="R662" s="1280"/>
      <c r="T662" s="4"/>
      <c r="U662" t="s">
        <v>684</v>
      </c>
      <c r="Z662" s="1108" t="str">
        <f>Z588</f>
        <v>510-582-1460</v>
      </c>
      <c r="AA662" s="1108"/>
      <c r="AB662" s="1108"/>
      <c r="AC662" s="1108"/>
      <c r="AD662" s="1108"/>
      <c r="AE662" s="1108"/>
      <c r="AH662" s="42" t="s">
        <v>857</v>
      </c>
      <c r="AI662" s="1280"/>
      <c r="AJ662" s="1280"/>
      <c r="AK662" s="128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84" t="str">
        <f>H589</f>
        <v>construction and perm financing</v>
      </c>
      <c r="I663" s="1084"/>
      <c r="J663" s="1084"/>
      <c r="K663" s="1084"/>
      <c r="L663" s="1084"/>
      <c r="M663" s="1084"/>
      <c r="N663" s="1084"/>
      <c r="O663" s="1084"/>
      <c r="P663" s="1084"/>
      <c r="Q663" s="1084"/>
      <c r="R663" s="1084"/>
      <c r="T663" s="4"/>
      <c r="U663" t="s">
        <v>873</v>
      </c>
      <c r="AA663" s="1084" t="str">
        <f>AA589</f>
        <v>GP Equity</v>
      </c>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09" t="s">
        <v>510</v>
      </c>
      <c r="O664" s="1109"/>
      <c r="T664" s="4"/>
      <c r="U664" t="s">
        <v>875</v>
      </c>
      <c r="AG664" s="1109" t="s">
        <v>116</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291" t="str">
        <f>C626</f>
        <v xml:space="preserve">GP Equity </v>
      </c>
      <c r="H666" s="1291"/>
      <c r="I666" s="1291"/>
      <c r="J666" s="1291"/>
      <c r="K666" s="1291"/>
      <c r="L666" s="1291"/>
      <c r="M666" s="1291"/>
      <c r="N666" s="1291"/>
      <c r="O666" s="1291"/>
      <c r="P666" s="1291"/>
      <c r="Q666" s="1291"/>
      <c r="R666" s="1291"/>
      <c r="T666" s="61" t="s">
        <v>185</v>
      </c>
      <c r="U666" t="s">
        <v>90</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84"/>
      <c r="H669" s="1084"/>
      <c r="I669" s="1084"/>
      <c r="J669" s="1084"/>
      <c r="K669" s="1084"/>
      <c r="L669" s="1084"/>
      <c r="M669" s="1084"/>
      <c r="N669" s="1084"/>
      <c r="O669" s="1084"/>
      <c r="P669" s="1084"/>
      <c r="Q669" s="1084"/>
      <c r="R669" s="1084"/>
      <c r="T669" s="4"/>
      <c r="U669" t="s">
        <v>872</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08"/>
      <c r="H670" s="1108"/>
      <c r="I670" s="1108"/>
      <c r="J670" s="1108"/>
      <c r="K670" s="1108"/>
      <c r="L670" s="1108"/>
      <c r="O670" s="42" t="s">
        <v>857</v>
      </c>
      <c r="P670" s="1280"/>
      <c r="Q670" s="1280"/>
      <c r="R670" s="1280"/>
      <c r="T670" s="4"/>
      <c r="U670" t="s">
        <v>684</v>
      </c>
      <c r="Z670" s="1108"/>
      <c r="AA670" s="1108"/>
      <c r="AB670" s="1108"/>
      <c r="AC670" s="1108"/>
      <c r="AD670" s="1108"/>
      <c r="AE670" s="1108"/>
      <c r="AH670" s="42" t="s">
        <v>857</v>
      </c>
      <c r="AI670" s="1280"/>
      <c r="AJ670" s="1280"/>
      <c r="AK670" s="128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84"/>
      <c r="I671" s="1084"/>
      <c r="J671" s="1084"/>
      <c r="K671" s="1084"/>
      <c r="L671" s="1084"/>
      <c r="M671" s="1084"/>
      <c r="N671" s="1084"/>
      <c r="O671" s="1084"/>
      <c r="P671" s="1084"/>
      <c r="Q671" s="1084"/>
      <c r="R671" s="1084"/>
      <c r="T671" s="4"/>
      <c r="U671" t="s">
        <v>873</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09"/>
      <c r="O672" s="1109"/>
      <c r="T672" s="4"/>
      <c r="U672" t="s">
        <v>875</v>
      </c>
      <c r="AG672" s="1109" t="s">
        <v>510</v>
      </c>
      <c r="AH672" s="110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1">
        <f>C628</f>
        <v>0</v>
      </c>
      <c r="H674" s="1291"/>
      <c r="I674" s="1291"/>
      <c r="J674" s="1291"/>
      <c r="K674" s="1291"/>
      <c r="L674" s="1291"/>
      <c r="M674" s="1291"/>
      <c r="N674" s="1291"/>
      <c r="O674" s="1291"/>
      <c r="P674" s="1291"/>
      <c r="Q674" s="1291"/>
      <c r="R674" s="1291"/>
      <c r="T674" s="61" t="s">
        <v>37</v>
      </c>
      <c r="U674" t="s">
        <v>90</v>
      </c>
      <c r="Z674" s="1291">
        <f>C629</f>
        <v>0</v>
      </c>
      <c r="AA674" s="1291"/>
      <c r="AB674" s="1291"/>
      <c r="AC674" s="1291"/>
      <c r="AD674" s="1291"/>
      <c r="AE674" s="1291"/>
      <c r="AF674" s="1291"/>
      <c r="AG674" s="1291"/>
      <c r="AH674" s="1291"/>
      <c r="AI674" s="1291"/>
      <c r="AJ674" s="1291"/>
      <c r="AK674" s="1291"/>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1748</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4">IF($G693=0,"N/A",VLOOKUP($T$189,TC_Rent,(MATCH($B693,bedrooms,FALSE))))</f>
        <v>1748</v>
      </c>
      <c r="BB676" s="43"/>
      <c r="BC676" s="43"/>
      <c r="BD676" s="43"/>
      <c r="BE676" s="43"/>
      <c r="BF676" s="43"/>
      <c r="BG676" s="449">
        <f>G692</f>
        <v>14</v>
      </c>
      <c r="BH676" s="456">
        <f>BG676/$BG$701</f>
        <v>0.2413793103448276</v>
      </c>
      <c r="BI676" s="458">
        <f>IF(BH676=0," ",BH676*AH692)</f>
        <v>7.2413793103448282E-2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84"/>
      <c r="H677" s="1084"/>
      <c r="I677" s="1084"/>
      <c r="J677" s="1084"/>
      <c r="K677" s="1084"/>
      <c r="L677" s="1084"/>
      <c r="M677" s="1084"/>
      <c r="N677" s="1084"/>
      <c r="O677" s="1084"/>
      <c r="P677" s="1084"/>
      <c r="Q677" s="1084"/>
      <c r="R677" s="1084"/>
      <c r="U677" t="s">
        <v>872</v>
      </c>
      <c r="Z677" s="1085"/>
      <c r="AA677" s="1085"/>
      <c r="AB677" s="1085"/>
      <c r="AC677" s="1085"/>
      <c r="AD677" s="1085"/>
      <c r="AE677" s="1085"/>
      <c r="AF677" s="1085"/>
      <c r="AG677" s="1085"/>
      <c r="AH677" s="1085"/>
      <c r="AI677" s="1085"/>
      <c r="AJ677" s="1085"/>
      <c r="AK677" s="1085"/>
      <c r="AM677" s="43"/>
      <c r="BA677" s="43">
        <f t="shared" si="24"/>
        <v>1748</v>
      </c>
      <c r="BB677" s="43"/>
      <c r="BC677" s="43"/>
      <c r="BD677" s="43"/>
      <c r="BE677" s="43"/>
      <c r="BF677" s="43"/>
      <c r="BG677" s="450">
        <f t="shared" ref="BG677:BG700" si="25">G693</f>
        <v>9</v>
      </c>
      <c r="BH677" s="456">
        <f t="shared" ref="BH677:BH700" si="26">BG677/$BG$701</f>
        <v>0.15517241379310345</v>
      </c>
      <c r="BI677" s="458">
        <f t="shared" ref="BI677:BI700" si="27">IF(BH677=0," ",BH677*AH693)</f>
        <v>6.9827586206896552E-2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08"/>
      <c r="H678" s="1108"/>
      <c r="I678" s="1108"/>
      <c r="J678" s="1108"/>
      <c r="K678" s="1108"/>
      <c r="L678" s="1108"/>
      <c r="O678" s="42" t="s">
        <v>857</v>
      </c>
      <c r="P678" s="1280"/>
      <c r="Q678" s="1280"/>
      <c r="R678" s="1280"/>
      <c r="U678" t="s">
        <v>684</v>
      </c>
      <c r="Z678" s="1108"/>
      <c r="AA678" s="1108"/>
      <c r="AB678" s="1108"/>
      <c r="AC678" s="1108"/>
      <c r="AD678" s="1108"/>
      <c r="AE678" s="1108"/>
      <c r="AH678" s="42" t="s">
        <v>857</v>
      </c>
      <c r="AI678" s="1280"/>
      <c r="AJ678" s="1280"/>
      <c r="AK678" s="1280"/>
      <c r="AM678" s="43"/>
      <c r="BA678" s="43" t="str">
        <f t="shared" si="24"/>
        <v>N/A</v>
      </c>
      <c r="BB678" s="41"/>
      <c r="BC678" s="41"/>
      <c r="BD678" s="41"/>
      <c r="BE678" s="41"/>
      <c r="BF678" s="41"/>
      <c r="BG678" s="450">
        <f t="shared" si="25"/>
        <v>35</v>
      </c>
      <c r="BH678" s="456">
        <f t="shared" si="26"/>
        <v>0.60344827586206895</v>
      </c>
      <c r="BI678" s="458">
        <f t="shared" si="27"/>
        <v>0.30172413793103448</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84"/>
      <c r="I679" s="1084"/>
      <c r="J679" s="1084"/>
      <c r="K679" s="1084"/>
      <c r="L679" s="1084"/>
      <c r="M679" s="1084"/>
      <c r="N679" s="1084"/>
      <c r="O679" s="1084"/>
      <c r="P679" s="1084"/>
      <c r="Q679" s="1084"/>
      <c r="R679" s="1084"/>
      <c r="U679" t="s">
        <v>873</v>
      </c>
      <c r="AA679" s="1084"/>
      <c r="AB679" s="1084"/>
      <c r="AC679" s="1084"/>
      <c r="AD679" s="1084"/>
      <c r="AE679" s="1084"/>
      <c r="AF679" s="1084"/>
      <c r="AG679" s="1084"/>
      <c r="AH679" s="1084"/>
      <c r="AI679" s="1084"/>
      <c r="AJ679" s="1084"/>
      <c r="AK679" s="1084"/>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09" t="s">
        <v>510</v>
      </c>
      <c r="O680" s="1109"/>
      <c r="U680" t="s">
        <v>875</v>
      </c>
      <c r="AG680" s="1109" t="s">
        <v>510</v>
      </c>
      <c r="AH680" s="1109"/>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5" t="s">
        <v>135</v>
      </c>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c r="AC683" s="1145"/>
      <c r="AD683" s="1145"/>
      <c r="AE683" s="1145"/>
      <c r="AF683" s="1145"/>
      <c r="AG683" s="1145"/>
      <c r="AH683" s="1145"/>
      <c r="AI683" s="1145"/>
      <c r="AJ683" s="1145"/>
      <c r="AK683" s="1145"/>
      <c r="AL683" s="1145"/>
      <c r="AM683" s="1145"/>
      <c r="AN683" s="1145"/>
      <c r="AO683" s="1145"/>
      <c r="AP683" s="1145"/>
      <c r="AQ683" s="1145"/>
      <c r="AR683" s="1145"/>
      <c r="AS683" s="1145"/>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c r="AC684" s="1145"/>
      <c r="AD684" s="1145"/>
      <c r="AE684" s="1145"/>
      <c r="AF684" s="1145"/>
      <c r="AG684" s="1145"/>
      <c r="AH684" s="1145"/>
      <c r="AI684" s="1145"/>
      <c r="AJ684" s="1145"/>
      <c r="AK684" s="1145"/>
      <c r="AL684" s="1145"/>
      <c r="AM684" s="1145"/>
      <c r="AN684" s="1145"/>
      <c r="AO684" s="1145"/>
      <c r="AP684" s="1145"/>
      <c r="AQ684" s="1145"/>
      <c r="AR684" s="1145"/>
      <c r="AS684" s="1145"/>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c r="AC685" s="1145"/>
      <c r="AD685" s="1145"/>
      <c r="AE685" s="1145"/>
      <c r="AF685" s="1145"/>
      <c r="AG685" s="1145"/>
      <c r="AH685" s="1145"/>
      <c r="AI685" s="1145"/>
      <c r="AJ685" s="1145"/>
      <c r="AK685" s="1145"/>
      <c r="AL685" s="1145"/>
      <c r="AM685" s="1145"/>
      <c r="AN685" s="1145"/>
      <c r="AO685" s="1145"/>
      <c r="AP685" s="1145"/>
      <c r="AQ685" s="1145"/>
      <c r="AR685" s="1145"/>
      <c r="AS685" s="1145"/>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8" t="s">
        <v>58</v>
      </c>
      <c r="C688" s="1249"/>
      <c r="D688" s="1249"/>
      <c r="E688" s="1249"/>
      <c r="F688" s="1250"/>
      <c r="G688" s="1248" t="s">
        <v>270</v>
      </c>
      <c r="H688" s="1249"/>
      <c r="I688" s="1249"/>
      <c r="J688" s="1250"/>
      <c r="K688" s="1500" t="s">
        <v>2087</v>
      </c>
      <c r="L688" s="1501"/>
      <c r="M688" s="1501"/>
      <c r="N688" s="1502"/>
      <c r="O688" s="1248" t="s">
        <v>623</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2088</v>
      </c>
      <c r="AI688" s="1249"/>
      <c r="AJ688" s="1249"/>
      <c r="AK688" s="1249"/>
      <c r="AL688" s="1250"/>
      <c r="AM688" s="1248" t="s">
        <v>2089</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1"/>
      <c r="C689" s="1252"/>
      <c r="D689" s="1252"/>
      <c r="E689" s="1252"/>
      <c r="F689" s="1253"/>
      <c r="G689" s="1251"/>
      <c r="H689" s="1252"/>
      <c r="I689" s="1252"/>
      <c r="J689" s="1253"/>
      <c r="K689" s="1503"/>
      <c r="L689" s="1504"/>
      <c r="M689" s="1504"/>
      <c r="N689" s="1505"/>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1"/>
      <c r="C690" s="1252"/>
      <c r="D690" s="1252"/>
      <c r="E690" s="1252"/>
      <c r="F690" s="1253"/>
      <c r="G690" s="1251"/>
      <c r="H690" s="1252"/>
      <c r="I690" s="1252"/>
      <c r="J690" s="1253"/>
      <c r="K690" s="1503"/>
      <c r="L690" s="1504"/>
      <c r="M690" s="1504"/>
      <c r="N690" s="1505"/>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4"/>
      <c r="C691" s="1255"/>
      <c r="D691" s="1255"/>
      <c r="E691" s="1255"/>
      <c r="F691" s="1256"/>
      <c r="G691" s="1254"/>
      <c r="H691" s="1255"/>
      <c r="I691" s="1255"/>
      <c r="J691" s="1256"/>
      <c r="K691" s="1503"/>
      <c r="L691" s="1504"/>
      <c r="M691" s="1504"/>
      <c r="N691" s="1505"/>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0" t="s">
        <v>470</v>
      </c>
      <c r="C692" s="1221"/>
      <c r="D692" s="1221"/>
      <c r="E692" s="1221"/>
      <c r="F692" s="1222"/>
      <c r="G692" s="1217">
        <f>+[1]EVERYTHING!$R$12</f>
        <v>14</v>
      </c>
      <c r="H692" s="1218"/>
      <c r="I692" s="1218"/>
      <c r="J692" s="1219"/>
      <c r="K692" s="1225">
        <v>570</v>
      </c>
      <c r="L692" s="1226"/>
      <c r="M692" s="1226"/>
      <c r="N692" s="1227"/>
      <c r="O692" s="1228">
        <f>+[1]EVERYTHING!$S$12</f>
        <v>427</v>
      </c>
      <c r="P692" s="1229"/>
      <c r="Q692" s="1229"/>
      <c r="R692" s="1229"/>
      <c r="S692" s="1230"/>
      <c r="T692" s="1231">
        <f t="shared" ref="T692:T716" si="28">G692*O692</f>
        <v>5978</v>
      </c>
      <c r="U692" s="1232"/>
      <c r="V692" s="1232"/>
      <c r="W692" s="1232"/>
      <c r="X692" s="1233"/>
      <c r="Y692" s="1228">
        <f>+[1]EVERYTHING!$V$12</f>
        <v>97</v>
      </c>
      <c r="Z692" s="1229"/>
      <c r="AA692" s="1229"/>
      <c r="AB692" s="1230"/>
      <c r="AC692" s="1231">
        <f t="shared" ref="AC692:AC716" si="29">O692+Y692</f>
        <v>524</v>
      </c>
      <c r="AD692" s="1232"/>
      <c r="AE692" s="1232"/>
      <c r="AF692" s="1232"/>
      <c r="AG692" s="1233"/>
      <c r="AH692" s="1302">
        <f>+[1]EVERYTHING!$P$12</f>
        <v>0.3</v>
      </c>
      <c r="AI692" s="1303"/>
      <c r="AJ692" s="1303"/>
      <c r="AK692" s="1303"/>
      <c r="AL692" s="1304"/>
      <c r="AM692" s="1448">
        <f>IF($AH692&gt;0,($AC692/$BA675)," ")</f>
        <v>0.2997711670480549</v>
      </c>
      <c r="AN692" s="1449"/>
      <c r="AO692" s="145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0" t="s">
        <v>470</v>
      </c>
      <c r="C693" s="1221"/>
      <c r="D693" s="1221"/>
      <c r="E693" s="1221"/>
      <c r="F693" s="1222"/>
      <c r="G693" s="1217">
        <f>+[1]EVERYTHING!$R$13</f>
        <v>9</v>
      </c>
      <c r="H693" s="1218"/>
      <c r="I693" s="1218"/>
      <c r="J693" s="1219"/>
      <c r="K693" s="1225">
        <v>570</v>
      </c>
      <c r="L693" s="1226"/>
      <c r="M693" s="1226"/>
      <c r="N693" s="1227"/>
      <c r="O693" s="1228">
        <f>+[1]EVERYTHING!$S$13</f>
        <v>689</v>
      </c>
      <c r="P693" s="1229"/>
      <c r="Q693" s="1229"/>
      <c r="R693" s="1229"/>
      <c r="S693" s="1230"/>
      <c r="T693" s="1231">
        <f t="shared" si="28"/>
        <v>6201</v>
      </c>
      <c r="U693" s="1232"/>
      <c r="V693" s="1232"/>
      <c r="W693" s="1232"/>
      <c r="X693" s="1233"/>
      <c r="Y693" s="1228">
        <f>+Y692</f>
        <v>97</v>
      </c>
      <c r="Z693" s="1229"/>
      <c r="AA693" s="1229"/>
      <c r="AB693" s="1230"/>
      <c r="AC693" s="1231">
        <f t="shared" si="29"/>
        <v>786</v>
      </c>
      <c r="AD693" s="1232"/>
      <c r="AE693" s="1232"/>
      <c r="AF693" s="1232"/>
      <c r="AG693" s="1233"/>
      <c r="AH693" s="1245">
        <f>+[1]EVERYTHING!$P$13</f>
        <v>0.45</v>
      </c>
      <c r="AI693" s="1246"/>
      <c r="AJ693" s="1246"/>
      <c r="AK693" s="1246"/>
      <c r="AL693" s="1247"/>
      <c r="AM693" s="1448">
        <f t="shared" ref="AM693:AM716" si="30">IF($AH693&gt;0,($AC693/$BA676), " ")</f>
        <v>0.44965675057208238</v>
      </c>
      <c r="AN693" s="1449"/>
      <c r="AO693" s="145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0" t="s">
        <v>470</v>
      </c>
      <c r="C694" s="1221"/>
      <c r="D694" s="1221"/>
      <c r="E694" s="1221"/>
      <c r="F694" s="1222"/>
      <c r="G694" s="1217">
        <f>+[1]EVERYTHING!$R$14</f>
        <v>35</v>
      </c>
      <c r="H694" s="1218"/>
      <c r="I694" s="1218"/>
      <c r="J694" s="1219"/>
      <c r="K694" s="1225">
        <v>570</v>
      </c>
      <c r="L694" s="1226"/>
      <c r="M694" s="1226"/>
      <c r="N694" s="1227"/>
      <c r="O694" s="1228">
        <f>+[1]EVERYTHING!$S$14</f>
        <v>777</v>
      </c>
      <c r="P694" s="1229"/>
      <c r="Q694" s="1229"/>
      <c r="R694" s="1229"/>
      <c r="S694" s="1230"/>
      <c r="T694" s="1231">
        <f t="shared" si="28"/>
        <v>27195</v>
      </c>
      <c r="U694" s="1232"/>
      <c r="V694" s="1232"/>
      <c r="W694" s="1232"/>
      <c r="X694" s="1233"/>
      <c r="Y694" s="1228">
        <f>+Y693</f>
        <v>97</v>
      </c>
      <c r="Z694" s="1229"/>
      <c r="AA694" s="1229"/>
      <c r="AB694" s="1230"/>
      <c r="AC694" s="1231">
        <f t="shared" si="29"/>
        <v>874</v>
      </c>
      <c r="AD694" s="1232"/>
      <c r="AE694" s="1232"/>
      <c r="AF694" s="1232"/>
      <c r="AG694" s="1233"/>
      <c r="AH694" s="1245">
        <f>+[1]EVERYTHING!$P$14</f>
        <v>0.5</v>
      </c>
      <c r="AI694" s="1246"/>
      <c r="AJ694" s="1246"/>
      <c r="AK694" s="1246"/>
      <c r="AL694" s="1247"/>
      <c r="AM694" s="1448">
        <f t="shared" si="30"/>
        <v>0.5</v>
      </c>
      <c r="AN694" s="1449"/>
      <c r="AO694" s="145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0"/>
      <c r="C695" s="1221"/>
      <c r="D695" s="1221"/>
      <c r="E695" s="1221"/>
      <c r="F695" s="1222"/>
      <c r="G695" s="1217"/>
      <c r="H695" s="1218"/>
      <c r="I695" s="1218"/>
      <c r="J695" s="1219"/>
      <c r="K695" s="1225"/>
      <c r="L695" s="1226"/>
      <c r="M695" s="1226"/>
      <c r="N695" s="1227"/>
      <c r="O695" s="1228"/>
      <c r="P695" s="1229"/>
      <c r="Q695" s="1229"/>
      <c r="R695" s="1229"/>
      <c r="S695" s="1230"/>
      <c r="T695" s="1231">
        <f t="shared" si="28"/>
        <v>0</v>
      </c>
      <c r="U695" s="1232"/>
      <c r="V695" s="1232"/>
      <c r="W695" s="1232"/>
      <c r="X695" s="1233"/>
      <c r="Y695" s="1228"/>
      <c r="Z695" s="1229"/>
      <c r="AA695" s="1229"/>
      <c r="AB695" s="1230"/>
      <c r="AC695" s="1231">
        <f t="shared" si="29"/>
        <v>0</v>
      </c>
      <c r="AD695" s="1232"/>
      <c r="AE695" s="1232"/>
      <c r="AF695" s="1232"/>
      <c r="AG695" s="1233"/>
      <c r="AH695" s="1245"/>
      <c r="AI695" s="1246"/>
      <c r="AJ695" s="1246"/>
      <c r="AK695" s="1246"/>
      <c r="AL695" s="1247"/>
      <c r="AM695" s="1448" t="str">
        <f t="shared" si="30"/>
        <v xml:space="preserve"> </v>
      </c>
      <c r="AN695" s="1449"/>
      <c r="AO695" s="145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0"/>
      <c r="C696" s="1221"/>
      <c r="D696" s="1221"/>
      <c r="E696" s="1221"/>
      <c r="F696" s="1222"/>
      <c r="G696" s="1217"/>
      <c r="H696" s="1218"/>
      <c r="I696" s="1218"/>
      <c r="J696" s="1219"/>
      <c r="K696" s="1225"/>
      <c r="L696" s="1226"/>
      <c r="M696" s="1226"/>
      <c r="N696" s="1227"/>
      <c r="O696" s="1228"/>
      <c r="P696" s="1229"/>
      <c r="Q696" s="1229"/>
      <c r="R696" s="1229"/>
      <c r="S696" s="1230"/>
      <c r="T696" s="1231">
        <f t="shared" si="28"/>
        <v>0</v>
      </c>
      <c r="U696" s="1232"/>
      <c r="V696" s="1232"/>
      <c r="W696" s="1232"/>
      <c r="X696" s="1233"/>
      <c r="Y696" s="1228"/>
      <c r="Z696" s="1229"/>
      <c r="AA696" s="1229"/>
      <c r="AB696" s="1230"/>
      <c r="AC696" s="1231">
        <f t="shared" si="29"/>
        <v>0</v>
      </c>
      <c r="AD696" s="1232"/>
      <c r="AE696" s="1232"/>
      <c r="AF696" s="1232"/>
      <c r="AG696" s="1233"/>
      <c r="AH696" s="1245"/>
      <c r="AI696" s="1246"/>
      <c r="AJ696" s="1246"/>
      <c r="AK696" s="1246"/>
      <c r="AL696" s="1247"/>
      <c r="AM696" s="1448" t="str">
        <f t="shared" si="30"/>
        <v xml:space="preserve"> </v>
      </c>
      <c r="AN696" s="1449"/>
      <c r="AO696" s="145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0"/>
      <c r="C697" s="1221"/>
      <c r="D697" s="1221"/>
      <c r="E697" s="1221"/>
      <c r="F697" s="1222"/>
      <c r="G697" s="1217"/>
      <c r="H697" s="1218"/>
      <c r="I697" s="1218"/>
      <c r="J697" s="1219"/>
      <c r="K697" s="1225"/>
      <c r="L697" s="1226"/>
      <c r="M697" s="1226"/>
      <c r="N697" s="1227"/>
      <c r="O697" s="1228"/>
      <c r="P697" s="1229"/>
      <c r="Q697" s="1229"/>
      <c r="R697" s="1229"/>
      <c r="S697" s="1230"/>
      <c r="T697" s="1231">
        <f t="shared" si="28"/>
        <v>0</v>
      </c>
      <c r="U697" s="1232"/>
      <c r="V697" s="1232"/>
      <c r="W697" s="1232"/>
      <c r="X697" s="1233"/>
      <c r="Y697" s="1228"/>
      <c r="Z697" s="1229"/>
      <c r="AA697" s="1229"/>
      <c r="AB697" s="1230"/>
      <c r="AC697" s="1231">
        <f t="shared" si="29"/>
        <v>0</v>
      </c>
      <c r="AD697" s="1232"/>
      <c r="AE697" s="1232"/>
      <c r="AF697" s="1232"/>
      <c r="AG697" s="1233"/>
      <c r="AH697" s="1245"/>
      <c r="AI697" s="1246"/>
      <c r="AJ697" s="1246"/>
      <c r="AK697" s="1246"/>
      <c r="AL697" s="1247"/>
      <c r="AM697" s="1448" t="str">
        <f t="shared" si="30"/>
        <v xml:space="preserve"> </v>
      </c>
      <c r="AN697" s="1449"/>
      <c r="AO697" s="145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0"/>
      <c r="C698" s="1221"/>
      <c r="D698" s="1221"/>
      <c r="E698" s="1221"/>
      <c r="F698" s="1222"/>
      <c r="G698" s="1217"/>
      <c r="H698" s="1218"/>
      <c r="I698" s="1218"/>
      <c r="J698" s="1219"/>
      <c r="K698" s="1225"/>
      <c r="L698" s="1226"/>
      <c r="M698" s="1226"/>
      <c r="N698" s="1227"/>
      <c r="O698" s="1228"/>
      <c r="P698" s="1229"/>
      <c r="Q698" s="1229"/>
      <c r="R698" s="1229"/>
      <c r="S698" s="1230"/>
      <c r="T698" s="1231">
        <f t="shared" si="28"/>
        <v>0</v>
      </c>
      <c r="U698" s="1232"/>
      <c r="V698" s="1232"/>
      <c r="W698" s="1232"/>
      <c r="X698" s="1233"/>
      <c r="Y698" s="1228"/>
      <c r="Z698" s="1229"/>
      <c r="AA698" s="1229"/>
      <c r="AB698" s="1230"/>
      <c r="AC698" s="1231">
        <f t="shared" si="29"/>
        <v>0</v>
      </c>
      <c r="AD698" s="1232"/>
      <c r="AE698" s="1232"/>
      <c r="AF698" s="1232"/>
      <c r="AG698" s="1233"/>
      <c r="AH698" s="1245"/>
      <c r="AI698" s="1246"/>
      <c r="AJ698" s="1246"/>
      <c r="AK698" s="1246"/>
      <c r="AL698" s="1247"/>
      <c r="AM698" s="1448" t="str">
        <f t="shared" si="30"/>
        <v xml:space="preserve"> </v>
      </c>
      <c r="AN698" s="1449"/>
      <c r="AO698" s="145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0"/>
      <c r="C699" s="1221"/>
      <c r="D699" s="1221"/>
      <c r="E699" s="1221"/>
      <c r="F699" s="1222"/>
      <c r="G699" s="1217"/>
      <c r="H699" s="1218"/>
      <c r="I699" s="1218"/>
      <c r="J699" s="1219"/>
      <c r="K699" s="1225"/>
      <c r="L699" s="1226"/>
      <c r="M699" s="1226"/>
      <c r="N699" s="1227"/>
      <c r="O699" s="1228"/>
      <c r="P699" s="1229"/>
      <c r="Q699" s="1229"/>
      <c r="R699" s="1229"/>
      <c r="S699" s="1230"/>
      <c r="T699" s="1231">
        <f t="shared" si="28"/>
        <v>0</v>
      </c>
      <c r="U699" s="1232"/>
      <c r="V699" s="1232"/>
      <c r="W699" s="1232"/>
      <c r="X699" s="1233"/>
      <c r="Y699" s="1228"/>
      <c r="Z699" s="1229"/>
      <c r="AA699" s="1229"/>
      <c r="AB699" s="1230"/>
      <c r="AC699" s="1231">
        <f t="shared" si="29"/>
        <v>0</v>
      </c>
      <c r="AD699" s="1232"/>
      <c r="AE699" s="1232"/>
      <c r="AF699" s="1232"/>
      <c r="AG699" s="1233"/>
      <c r="AH699" s="1245"/>
      <c r="AI699" s="1246"/>
      <c r="AJ699" s="1246"/>
      <c r="AK699" s="1246"/>
      <c r="AL699" s="1247"/>
      <c r="AM699" s="1448" t="str">
        <f t="shared" si="30"/>
        <v xml:space="preserve"> </v>
      </c>
      <c r="AN699" s="1449"/>
      <c r="AO699" s="145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0"/>
      <c r="C700" s="1221"/>
      <c r="D700" s="1221"/>
      <c r="E700" s="1221"/>
      <c r="F700" s="1222"/>
      <c r="G700" s="1217"/>
      <c r="H700" s="1218"/>
      <c r="I700" s="1218"/>
      <c r="J700" s="1219"/>
      <c r="K700" s="1225"/>
      <c r="L700" s="1226"/>
      <c r="M700" s="1226"/>
      <c r="N700" s="1227"/>
      <c r="O700" s="1228"/>
      <c r="P700" s="1229"/>
      <c r="Q700" s="1229"/>
      <c r="R700" s="1229"/>
      <c r="S700" s="1230"/>
      <c r="T700" s="1231">
        <f t="shared" si="28"/>
        <v>0</v>
      </c>
      <c r="U700" s="1232"/>
      <c r="V700" s="1232"/>
      <c r="W700" s="1232"/>
      <c r="X700" s="1233"/>
      <c r="Y700" s="1228"/>
      <c r="Z700" s="1229"/>
      <c r="AA700" s="1229"/>
      <c r="AB700" s="1230"/>
      <c r="AC700" s="1231">
        <f t="shared" si="29"/>
        <v>0</v>
      </c>
      <c r="AD700" s="1232"/>
      <c r="AE700" s="1232"/>
      <c r="AF700" s="1232"/>
      <c r="AG700" s="1233"/>
      <c r="AH700" s="1245"/>
      <c r="AI700" s="1246"/>
      <c r="AJ700" s="1246"/>
      <c r="AK700" s="1246"/>
      <c r="AL700" s="1247"/>
      <c r="AM700" s="1448" t="str">
        <f t="shared" si="30"/>
        <v xml:space="preserve"> </v>
      </c>
      <c r="AN700" s="1449"/>
      <c r="AO700" s="145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8" t="str">
        <f t="shared" si="30"/>
        <v xml:space="preserve"> </v>
      </c>
      <c r="AN701" s="1449"/>
      <c r="AO701" s="1450"/>
      <c r="BA701" s="41"/>
      <c r="BB701" s="41"/>
      <c r="BC701" s="41"/>
      <c r="BD701" s="41"/>
      <c r="BE701" s="42"/>
      <c r="BF701" s="62" t="s">
        <v>914</v>
      </c>
      <c r="BG701" s="459">
        <f>SUM(BG676:BG700)</f>
        <v>58</v>
      </c>
      <c r="BH701" s="460">
        <f>SUM(BH676:BH700)</f>
        <v>1</v>
      </c>
      <c r="BI701" s="460">
        <f>SUM(BI676:BI700)</f>
        <v>0.44396551724137934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8" t="str">
        <f t="shared" si="30"/>
        <v xml:space="preserve"> </v>
      </c>
      <c r="AN702" s="1449"/>
      <c r="AO702" s="145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8" t="str">
        <f t="shared" si="30"/>
        <v xml:space="preserve"> </v>
      </c>
      <c r="AN703" s="1449"/>
      <c r="AO703" s="1450"/>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8" t="str">
        <f t="shared" si="30"/>
        <v xml:space="preserve"> </v>
      </c>
      <c r="AN704" s="1449"/>
      <c r="AO704" s="1450"/>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8" t="str">
        <f t="shared" si="30"/>
        <v xml:space="preserve"> </v>
      </c>
      <c r="AN705" s="1449"/>
      <c r="AO705" s="1450"/>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8" t="str">
        <f t="shared" si="30"/>
        <v xml:space="preserve"> </v>
      </c>
      <c r="AN706" s="1449"/>
      <c r="AO706" s="1450"/>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8" t="str">
        <f t="shared" si="30"/>
        <v xml:space="preserve"> </v>
      </c>
      <c r="AN707" s="1449"/>
      <c r="AO707" s="1450"/>
      <c r="BA707" s="41"/>
      <c r="BB707" s="41"/>
      <c r="BC707" s="41"/>
      <c r="BD707" s="41"/>
      <c r="BE707" s="41"/>
      <c r="BF707" s="41"/>
      <c r="BG707" s="858">
        <f>G692</f>
        <v>14</v>
      </c>
      <c r="BH707" s="862">
        <f>BG707/$BG$732</f>
        <v>0.2413793103448276</v>
      </c>
      <c r="BI707" s="863">
        <f>IF(BH707=0," ",BH707*AM692)</f>
        <v>7.23585575633236E-2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8" t="str">
        <f t="shared" si="30"/>
        <v xml:space="preserve"> </v>
      </c>
      <c r="AN708" s="1449"/>
      <c r="AO708" s="1450"/>
      <c r="BA708" s="41"/>
      <c r="BB708" s="41"/>
      <c r="BC708" s="41"/>
      <c r="BD708" s="41"/>
      <c r="BE708" s="41"/>
      <c r="BF708" s="41"/>
      <c r="BG708" s="858">
        <f t="shared" ref="BG708:BG731" si="31">G693</f>
        <v>9</v>
      </c>
      <c r="BH708" s="862">
        <f t="shared" ref="BH708:BH731" si="32">BG708/$BG$732</f>
        <v>0.15517241379310345</v>
      </c>
      <c r="BI708" s="863">
        <f t="shared" ref="BI708:BI731" si="33">IF(BH708=0," ",BH708*AM693)</f>
        <v>6.9774323364633475E-2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8" t="str">
        <f t="shared" si="30"/>
        <v xml:space="preserve"> </v>
      </c>
      <c r="AN709" s="1449"/>
      <c r="AO709" s="1450"/>
      <c r="BA709" s="43"/>
      <c r="BB709" s="43"/>
      <c r="BC709" s="43"/>
      <c r="BD709" s="43"/>
      <c r="BE709" s="43"/>
      <c r="BF709" s="43"/>
      <c r="BG709" s="858">
        <f t="shared" si="31"/>
        <v>35</v>
      </c>
      <c r="BH709" s="862">
        <f t="shared" si="32"/>
        <v>0.60344827586206895</v>
      </c>
      <c r="BI709" s="863">
        <f t="shared" si="33"/>
        <v>0.30172413793103448</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8" t="str">
        <f t="shared" si="30"/>
        <v xml:space="preserve"> </v>
      </c>
      <c r="AN710" s="1449"/>
      <c r="AO710" s="1450"/>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8" t="str">
        <f t="shared" si="30"/>
        <v xml:space="preserve"> </v>
      </c>
      <c r="AN711" s="1449"/>
      <c r="AO711" s="1450"/>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8" t="str">
        <f t="shared" si="30"/>
        <v xml:space="preserve"> </v>
      </c>
      <c r="AN712" s="1449"/>
      <c r="AO712" s="1450"/>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8" t="str">
        <f t="shared" si="30"/>
        <v xml:space="preserve"> </v>
      </c>
      <c r="AN713" s="1449"/>
      <c r="AO713" s="1450"/>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8" t="str">
        <f t="shared" si="30"/>
        <v xml:space="preserve"> </v>
      </c>
      <c r="AN714" s="1449"/>
      <c r="AO714" s="1450"/>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8" t="str">
        <f t="shared" si="30"/>
        <v xml:space="preserve"> </v>
      </c>
      <c r="AN715" s="1449"/>
      <c r="AO715" s="1450"/>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8" t="str">
        <f t="shared" si="30"/>
        <v xml:space="preserve"> </v>
      </c>
      <c r="AN716" s="1449"/>
      <c r="AO716" s="1450"/>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89" t="s">
        <v>916</v>
      </c>
      <c r="C717" s="1090"/>
      <c r="D717" s="1090"/>
      <c r="E717" s="1090"/>
      <c r="F717" s="1092"/>
      <c r="G717" s="1257">
        <f>SUM(G692:J716)</f>
        <v>58</v>
      </c>
      <c r="H717" s="1258"/>
      <c r="I717" s="1258"/>
      <c r="J717" s="1259"/>
      <c r="O717" s="434" t="s">
        <v>915</v>
      </c>
      <c r="P717" s="168"/>
      <c r="Q717" s="168"/>
      <c r="R717" s="168"/>
      <c r="S717" s="849"/>
      <c r="T717" s="1231">
        <f>SUM(T692:X716)</f>
        <v>39374</v>
      </c>
      <c r="U717" s="1232"/>
      <c r="V717" s="1232"/>
      <c r="W717" s="1232"/>
      <c r="X717" s="1233"/>
      <c r="AC717" s="850" t="s">
        <v>1185</v>
      </c>
      <c r="AD717" s="851"/>
      <c r="AE717" s="851"/>
      <c r="AF717" s="851"/>
      <c r="AG717" s="852"/>
      <c r="AH717" s="1506">
        <f>BI701</f>
        <v>0.44396551724137934</v>
      </c>
      <c r="AI717" s="1507"/>
      <c r="AJ717" s="1507"/>
      <c r="AK717" s="1507"/>
      <c r="AL717" s="1508"/>
      <c r="AM717" s="1506">
        <f>BI732</f>
        <v>0.44385701885899154</v>
      </c>
      <c r="AN717" s="1507"/>
      <c r="AO717" s="1508"/>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6" t="s">
        <v>2156</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236">
        <f>CQ615</f>
        <v>58</v>
      </c>
      <c r="P720" s="1236"/>
      <c r="Q720" s="1236"/>
      <c r="R720" s="1236"/>
      <c r="S720" s="931"/>
      <c r="T720" s="931"/>
      <c r="U720" s="270" t="s">
        <v>2158</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132</v>
      </c>
      <c r="AA722" s="1512"/>
      <c r="AB722" s="1512"/>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2154</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1584</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58</v>
      </c>
      <c r="BH732" s="860">
        <f>SUM(BH707:BH731)</f>
        <v>1</v>
      </c>
      <c r="BI732" s="860">
        <f>SUM(BI707:BI731)</f>
        <v>0.44385701885899154</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8" t="s">
        <v>58</v>
      </c>
      <c r="K734" s="1249"/>
      <c r="L734" s="1249"/>
      <c r="M734" s="1249"/>
      <c r="N734" s="1250"/>
      <c r="O734" s="1263" t="s">
        <v>270</v>
      </c>
      <c r="P734" s="1263"/>
      <c r="Q734" s="1263"/>
      <c r="R734" s="1263"/>
      <c r="S734" s="1263"/>
      <c r="T734" s="1500" t="s">
        <v>2087</v>
      </c>
      <c r="U734" s="1501"/>
      <c r="V734" s="1501"/>
      <c r="W734" s="1502"/>
      <c r="X734" s="1248" t="s">
        <v>623</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1"/>
      <c r="K735" s="1252"/>
      <c r="L735" s="1252"/>
      <c r="M735" s="1252"/>
      <c r="N735" s="1253"/>
      <c r="O735" s="1263"/>
      <c r="P735" s="1263"/>
      <c r="Q735" s="1263"/>
      <c r="R735" s="1263"/>
      <c r="S735" s="1263"/>
      <c r="T735" s="1503"/>
      <c r="U735" s="1504"/>
      <c r="V735" s="1504"/>
      <c r="W735" s="1505"/>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1"/>
      <c r="K736" s="1252"/>
      <c r="L736" s="1252"/>
      <c r="M736" s="1252"/>
      <c r="N736" s="1253"/>
      <c r="O736" s="1263"/>
      <c r="P736" s="1263"/>
      <c r="Q736" s="1263"/>
      <c r="R736" s="1263"/>
      <c r="S736" s="1263"/>
      <c r="T736" s="1503"/>
      <c r="U736" s="1504"/>
      <c r="V736" s="1504"/>
      <c r="W736" s="1505"/>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4"/>
      <c r="K737" s="1255"/>
      <c r="L737" s="1255"/>
      <c r="M737" s="1255"/>
      <c r="N737" s="1256"/>
      <c r="O737" s="1263"/>
      <c r="P737" s="1263"/>
      <c r="Q737" s="1263"/>
      <c r="R737" s="1263"/>
      <c r="S737" s="1263"/>
      <c r="T737" s="1509"/>
      <c r="U737" s="1510"/>
      <c r="V737" s="1510"/>
      <c r="W737" s="1511"/>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0" t="s">
        <v>815</v>
      </c>
      <c r="K738" s="1221"/>
      <c r="L738" s="1221"/>
      <c r="M738" s="1221"/>
      <c r="N738" s="1222"/>
      <c r="O738" s="1224">
        <f>+[1]EVERYTHING!$R$17</f>
        <v>1</v>
      </c>
      <c r="P738" s="1224"/>
      <c r="Q738" s="1224"/>
      <c r="R738" s="1224"/>
      <c r="S738" s="1224"/>
      <c r="T738" s="1225">
        <v>984</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89" t="s">
        <v>916</v>
      </c>
      <c r="K742" s="1090"/>
      <c r="L742" s="1090"/>
      <c r="M742" s="1090"/>
      <c r="N742" s="1092"/>
      <c r="O742" s="1242">
        <f>SUM(O738:S741)</f>
        <v>1</v>
      </c>
      <c r="P742" s="1309"/>
      <c r="Q742" s="1309"/>
      <c r="R742" s="1309"/>
      <c r="S742" s="1243"/>
      <c r="X742" s="1089" t="s">
        <v>915</v>
      </c>
      <c r="Y742" s="1090"/>
      <c r="Z742" s="1090"/>
      <c r="AA742" s="1090"/>
      <c r="AB742" s="1092"/>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1" t="s">
        <v>510</v>
      </c>
      <c r="K744" s="1111"/>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8" t="s">
        <v>58</v>
      </c>
      <c r="K748" s="1249"/>
      <c r="L748" s="1249"/>
      <c r="M748" s="1249"/>
      <c r="N748" s="1250"/>
      <c r="O748" s="1263" t="s">
        <v>270</v>
      </c>
      <c r="P748" s="1263"/>
      <c r="Q748" s="1263"/>
      <c r="R748" s="1263"/>
      <c r="S748" s="1263"/>
      <c r="T748" s="1500" t="s">
        <v>2087</v>
      </c>
      <c r="U748" s="1501"/>
      <c r="V748" s="1501"/>
      <c r="W748" s="1502"/>
      <c r="X748" s="1248" t="s">
        <v>623</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1"/>
      <c r="K749" s="1252"/>
      <c r="L749" s="1252"/>
      <c r="M749" s="1252"/>
      <c r="N749" s="1253"/>
      <c r="O749" s="1263"/>
      <c r="P749" s="1263"/>
      <c r="Q749" s="1263"/>
      <c r="R749" s="1263"/>
      <c r="S749" s="1263"/>
      <c r="T749" s="1503"/>
      <c r="U749" s="1504"/>
      <c r="V749" s="1504"/>
      <c r="W749" s="1505"/>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1"/>
      <c r="K750" s="1252"/>
      <c r="L750" s="1252"/>
      <c r="M750" s="1252"/>
      <c r="N750" s="1253"/>
      <c r="O750" s="1263"/>
      <c r="P750" s="1263"/>
      <c r="Q750" s="1263"/>
      <c r="R750" s="1263"/>
      <c r="S750" s="1263"/>
      <c r="T750" s="1503"/>
      <c r="U750" s="1504"/>
      <c r="V750" s="1504"/>
      <c r="W750" s="1505"/>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4"/>
      <c r="K751" s="1255"/>
      <c r="L751" s="1255"/>
      <c r="M751" s="1255"/>
      <c r="N751" s="1256"/>
      <c r="O751" s="1263"/>
      <c r="P751" s="1263"/>
      <c r="Q751" s="1263"/>
      <c r="R751" s="1263"/>
      <c r="S751" s="1263"/>
      <c r="T751" s="1509"/>
      <c r="U751" s="1510"/>
      <c r="V751" s="1510"/>
      <c r="W751" s="1511"/>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9" t="s">
        <v>916</v>
      </c>
      <c r="K762" s="1090"/>
      <c r="L762" s="1090"/>
      <c r="M762" s="1090"/>
      <c r="N762" s="1092"/>
      <c r="O762" s="1236">
        <f>SUM(O752:S761)</f>
        <v>0</v>
      </c>
      <c r="P762" s="1236"/>
      <c r="Q762" s="1236"/>
      <c r="R762" s="1236"/>
      <c r="S762" s="1236"/>
      <c r="X762" s="434" t="s">
        <v>915</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54">
        <f>T717+AC742+AC762</f>
        <v>39374</v>
      </c>
      <c r="Z764" s="1154"/>
      <c r="AA764" s="1154"/>
      <c r="AB764" s="1154"/>
      <c r="AC764" s="115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54">
        <f>(T717+AC742+AC762)*12</f>
        <v>472488</v>
      </c>
      <c r="Z765" s="1154"/>
      <c r="AA765" s="1154"/>
      <c r="AB765" s="1154"/>
      <c r="AC765" s="115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0">
        <f>+[1]EVERYTHING!$Q$26</f>
        <v>14</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6">
        <v>20</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447">
        <v>53693</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51">
        <f>'Subsidy Contract Calculation'!I30</f>
        <v>193872</v>
      </c>
      <c r="AA773" s="1152"/>
      <c r="AB773" s="1152"/>
      <c r="AC773" s="1152"/>
      <c r="AD773" s="1152"/>
      <c r="AE773" s="115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42">
        <f>+[1]EVERYTHING!$U$19</f>
        <v>5400</v>
      </c>
      <c r="AA777" s="1143"/>
      <c r="AB777" s="1143"/>
      <c r="AC777" s="1143"/>
      <c r="AD777" s="1143"/>
      <c r="AE777" s="114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42"/>
      <c r="AA778" s="1143"/>
      <c r="AB778" s="1143"/>
      <c r="AC778" s="1143"/>
      <c r="AD778" s="1143"/>
      <c r="AE778" s="114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42"/>
      <c r="AA779" s="1143"/>
      <c r="AB779" s="1143"/>
      <c r="AC779" s="1143"/>
      <c r="AD779" s="1143"/>
      <c r="AE779" s="114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9" t="s">
        <v>591</v>
      </c>
      <c r="Q780" s="1140"/>
      <c r="R780" s="1140"/>
      <c r="S780" s="1140"/>
      <c r="T780" s="1140"/>
      <c r="U780" s="1140"/>
      <c r="V780" s="1140"/>
      <c r="W780" s="1140"/>
      <c r="X780" s="1140"/>
      <c r="Y780" s="1141"/>
      <c r="Z780" s="1142"/>
      <c r="AA780" s="1143"/>
      <c r="AB780" s="1143"/>
      <c r="AC780" s="1143"/>
      <c r="AD780" s="1143"/>
      <c r="AE780" s="114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48">
        <f>SUM(Z777:AE780)</f>
        <v>5400</v>
      </c>
      <c r="AA781" s="1149"/>
      <c r="AB781" s="1149"/>
      <c r="AC781" s="1149"/>
      <c r="AD781" s="1149"/>
      <c r="AE781" s="115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48">
        <f>Z781+Y765+Z773</f>
        <v>671760</v>
      </c>
      <c r="AA782" s="1149"/>
      <c r="AB782" s="1149"/>
      <c r="AC782" s="1149"/>
      <c r="AD782" s="1149"/>
      <c r="AE782" s="115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0" t="s">
        <v>917</v>
      </c>
      <c r="N787" s="1170"/>
      <c r="O787" s="1170"/>
      <c r="P787" s="1514"/>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3" t="s">
        <v>592</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4"/>
      <c r="N788" s="1174"/>
      <c r="O788" s="1174"/>
      <c r="P788" s="1268"/>
      <c r="Q788" s="1223"/>
      <c r="R788" s="1223"/>
      <c r="S788" s="1223"/>
      <c r="T788" s="1223"/>
      <c r="U788" s="1223"/>
      <c r="V788" s="1223"/>
      <c r="W788" s="1223"/>
      <c r="X788" s="1223"/>
      <c r="Y788" s="1223"/>
      <c r="Z788" s="1223"/>
      <c r="AA788" s="1223"/>
      <c r="AB788" s="1223"/>
      <c r="AC788" s="1223"/>
      <c r="AD788" s="1223"/>
      <c r="AE788" s="1223"/>
      <c r="AF788" s="1223"/>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2" t="s">
        <v>728</v>
      </c>
      <c r="D789" s="1291"/>
      <c r="E789" s="1291"/>
      <c r="F789" s="1291"/>
      <c r="G789" s="1291"/>
      <c r="H789" s="1291"/>
      <c r="I789" s="54"/>
      <c r="J789" s="54"/>
      <c r="K789" s="54"/>
      <c r="L789" s="55"/>
      <c r="M789" s="1237"/>
      <c r="N789" s="1237"/>
      <c r="O789" s="1237"/>
      <c r="P789" s="1237"/>
      <c r="Q789" s="1237">
        <v>14</v>
      </c>
      <c r="R789" s="1237"/>
      <c r="S789" s="1237"/>
      <c r="T789" s="1237"/>
      <c r="U789" s="1237"/>
      <c r="V789" s="1237"/>
      <c r="W789" s="1237"/>
      <c r="X789" s="1237"/>
      <c r="Y789" s="1237"/>
      <c r="Z789" s="1237"/>
      <c r="AA789" s="1237"/>
      <c r="AB789" s="1237"/>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4" t="s">
        <v>729</v>
      </c>
      <c r="D790" s="1235"/>
      <c r="E790" s="1235"/>
      <c r="F790" s="1235"/>
      <c r="G790" s="1235"/>
      <c r="H790" s="1235"/>
      <c r="I790" s="9"/>
      <c r="J790" s="9"/>
      <c r="K790" s="9"/>
      <c r="L790" s="52"/>
      <c r="M790" s="1237"/>
      <c r="N790" s="1237"/>
      <c r="O790" s="1237"/>
      <c r="P790" s="1237"/>
      <c r="Q790" s="1237"/>
      <c r="R790" s="1237"/>
      <c r="S790" s="1237"/>
      <c r="T790" s="1237"/>
      <c r="U790" s="1237"/>
      <c r="V790" s="1237"/>
      <c r="W790" s="1237"/>
      <c r="X790" s="1237"/>
      <c r="Y790" s="1237"/>
      <c r="Z790" s="1237"/>
      <c r="AA790" s="1237"/>
      <c r="AB790" s="1237"/>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4" t="s">
        <v>76</v>
      </c>
      <c r="D791" s="1235"/>
      <c r="E791" s="1235"/>
      <c r="F791" s="1235"/>
      <c r="G791" s="1235"/>
      <c r="H791" s="1235"/>
      <c r="I791" s="66"/>
      <c r="J791" s="66"/>
      <c r="K791" s="66"/>
      <c r="L791" s="67"/>
      <c r="M791" s="1237"/>
      <c r="N791" s="1237"/>
      <c r="O791" s="1237"/>
      <c r="P791" s="1237"/>
      <c r="Q791" s="1237">
        <v>8</v>
      </c>
      <c r="R791" s="1237"/>
      <c r="S791" s="1237"/>
      <c r="T791" s="1237"/>
      <c r="U791" s="1237"/>
      <c r="V791" s="1237"/>
      <c r="W791" s="1237"/>
      <c r="X791" s="1237"/>
      <c r="Y791" s="1237"/>
      <c r="Z791" s="1237"/>
      <c r="AA791" s="1237"/>
      <c r="AB791" s="1237"/>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4" t="s">
        <v>189</v>
      </c>
      <c r="D792" s="1235"/>
      <c r="E792" s="1235"/>
      <c r="F792" s="1235"/>
      <c r="G792" s="1235"/>
      <c r="H792" s="1235"/>
      <c r="I792" s="66"/>
      <c r="J792" s="66"/>
      <c r="K792" s="66"/>
      <c r="L792" s="67"/>
      <c r="M792" s="1237"/>
      <c r="N792" s="1237"/>
      <c r="O792" s="1237"/>
      <c r="P792" s="1237"/>
      <c r="Q792" s="1237">
        <v>23</v>
      </c>
      <c r="R792" s="1237"/>
      <c r="S792" s="1237"/>
      <c r="T792" s="1237"/>
      <c r="U792" s="1237"/>
      <c r="V792" s="1237"/>
      <c r="W792" s="1237"/>
      <c r="X792" s="1237"/>
      <c r="Y792" s="1237"/>
      <c r="Z792" s="1237"/>
      <c r="AA792" s="1237"/>
      <c r="AB792" s="1237"/>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4" t="s">
        <v>826</v>
      </c>
      <c r="D793" s="1235"/>
      <c r="E793" s="1235"/>
      <c r="F793" s="1235"/>
      <c r="G793" s="1235"/>
      <c r="H793" s="1235"/>
      <c r="I793" s="66"/>
      <c r="J793" s="66"/>
      <c r="K793" s="66"/>
      <c r="L793" s="67"/>
      <c r="M793" s="1237"/>
      <c r="N793" s="1237"/>
      <c r="O793" s="1237"/>
      <c r="P793" s="1237"/>
      <c r="Q793" s="1237">
        <v>39</v>
      </c>
      <c r="R793" s="1237"/>
      <c r="S793" s="1237"/>
      <c r="T793" s="1237"/>
      <c r="U793" s="1237"/>
      <c r="V793" s="1237"/>
      <c r="W793" s="1237"/>
      <c r="X793" s="1237"/>
      <c r="Y793" s="1237"/>
      <c r="Z793" s="1237"/>
      <c r="AA793" s="1237"/>
      <c r="AB793" s="1237"/>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9" t="s">
        <v>985</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9" t="s">
        <v>2414</v>
      </c>
      <c r="G795" s="1140"/>
      <c r="H795" s="1140"/>
      <c r="I795" s="1140"/>
      <c r="J795" s="1140"/>
      <c r="K795" s="1140"/>
      <c r="L795" s="1140"/>
      <c r="M795" s="1237"/>
      <c r="N795" s="1237"/>
      <c r="O795" s="1237"/>
      <c r="P795" s="1237"/>
      <c r="Q795" s="1237">
        <v>13</v>
      </c>
      <c r="R795" s="1237"/>
      <c r="S795" s="1237"/>
      <c r="T795" s="1237"/>
      <c r="U795" s="1237"/>
      <c r="V795" s="1237"/>
      <c r="W795" s="1237"/>
      <c r="X795" s="1237"/>
      <c r="Y795" s="1237"/>
      <c r="Z795" s="1237"/>
      <c r="AA795" s="1237"/>
      <c r="AB795" s="1237"/>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89" t="s">
        <v>915</v>
      </c>
      <c r="D796" s="1090"/>
      <c r="E796" s="1090"/>
      <c r="F796" s="1090"/>
      <c r="G796" s="1090"/>
      <c r="H796" s="1090"/>
      <c r="I796" s="1090"/>
      <c r="J796" s="1090"/>
      <c r="K796" s="1090"/>
      <c r="L796" s="1092"/>
      <c r="M796" s="1308">
        <f>SUM(M789:P795)</f>
        <v>0</v>
      </c>
      <c r="N796" s="1308"/>
      <c r="O796" s="1308"/>
      <c r="P796" s="1308"/>
      <c r="Q796" s="1308">
        <f>SUM(Q789:T795)</f>
        <v>97</v>
      </c>
      <c r="R796" s="1308"/>
      <c r="S796" s="1308"/>
      <c r="T796" s="1308"/>
      <c r="U796" s="1308">
        <f>SUM(U789:X795)</f>
        <v>0</v>
      </c>
      <c r="V796" s="1308"/>
      <c r="W796" s="1308"/>
      <c r="X796" s="1308"/>
      <c r="Y796" s="1308">
        <f>SUM(Y789:AB795)</f>
        <v>0</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1" t="s">
        <v>2429</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78" t="s">
        <v>392</v>
      </c>
      <c r="BB805" s="1179"/>
      <c r="BC805" s="41"/>
      <c r="BD805" s="41"/>
      <c r="BE805" s="41"/>
      <c r="BF805" s="21" t="s">
        <v>448</v>
      </c>
      <c r="BG805" s="21"/>
      <c r="BH805" s="21"/>
      <c r="BI805" s="21"/>
      <c r="BJ805" s="21"/>
      <c r="BK805" s="21"/>
      <c r="BL805" s="21"/>
      <c r="BM805" s="21"/>
      <c r="BN805" s="21"/>
      <c r="BO805" s="1175" t="str">
        <f>T189</f>
        <v>Riverside</v>
      </c>
      <c r="BP805" s="1176"/>
      <c r="BQ805" s="1176"/>
      <c r="BR805" s="1176"/>
      <c r="BS805" s="1176"/>
      <c r="BT805" s="1176"/>
      <c r="BU805" s="117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2"/>
      <c r="X806" s="1192"/>
      <c r="Y806" s="1192"/>
      <c r="Z806" s="1192"/>
      <c r="AA806" s="1192"/>
      <c r="AB806" s="1192"/>
      <c r="AC806" s="119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2">
        <v>1900</v>
      </c>
      <c r="X807" s="1192"/>
      <c r="Y807" s="1192"/>
      <c r="Z807" s="1192"/>
      <c r="AA807" s="1192"/>
      <c r="AB807" s="1192"/>
      <c r="AC807" s="1192"/>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2">
        <f>10325+9204</f>
        <v>19529</v>
      </c>
      <c r="X808" s="1192"/>
      <c r="Y808" s="1192"/>
      <c r="Z808" s="1192"/>
      <c r="AA808" s="1192"/>
      <c r="AB808" s="1192"/>
      <c r="AC808" s="119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2">
        <v>17700</v>
      </c>
      <c r="X809" s="1192"/>
      <c r="Y809" s="1192"/>
      <c r="Z809" s="1192"/>
      <c r="AA809" s="1192"/>
      <c r="AB809" s="1192"/>
      <c r="AC809" s="1192"/>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93" t="s">
        <v>2427</v>
      </c>
      <c r="N810" s="1140"/>
      <c r="O810" s="1140"/>
      <c r="P810" s="1140"/>
      <c r="Q810" s="1140"/>
      <c r="R810" s="1140"/>
      <c r="S810" s="1140"/>
      <c r="T810" s="1140"/>
      <c r="U810" s="1140"/>
      <c r="V810" s="1141"/>
      <c r="W810" s="1192">
        <f>1900+5849+250+300+12000+3500+1000+9350+986+870+300+1000+513</f>
        <v>37818</v>
      </c>
      <c r="X810" s="1192"/>
      <c r="Y810" s="1192"/>
      <c r="Z810" s="1192"/>
      <c r="AA810" s="1192"/>
      <c r="AB810" s="1192"/>
      <c r="AC810" s="119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8">
        <f>SUM(W806:AC810)</f>
        <v>76947</v>
      </c>
      <c r="X811" s="1149"/>
      <c r="Y811" s="1149"/>
      <c r="Z811" s="1149"/>
      <c r="AA811" s="1149"/>
      <c r="AB811" s="1149"/>
      <c r="AC811" s="115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2">
        <v>49560</v>
      </c>
      <c r="X813" s="1143"/>
      <c r="Y813" s="1143"/>
      <c r="Z813" s="1143"/>
      <c r="AA813" s="1143"/>
      <c r="AB813" s="1143"/>
      <c r="AC813" s="114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216"/>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6"/>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16">
        <v>8000</v>
      </c>
      <c r="X817" s="1216"/>
      <c r="Y817" s="1216"/>
      <c r="Z817" s="1216"/>
      <c r="AA817" s="1216"/>
      <c r="AB817" s="1216"/>
      <c r="AC817" s="1216"/>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6">
        <f>22500+31860</f>
        <v>54360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62360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6">
        <v>21986</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264">
        <v>2.0299999999999998</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516">
        <v>30442</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93" t="s">
        <v>2426</v>
      </c>
      <c r="N825" s="1140"/>
      <c r="O825" s="1140"/>
      <c r="P825" s="1140"/>
      <c r="Q825" s="1140"/>
      <c r="R825" s="1140"/>
      <c r="S825" s="1140"/>
      <c r="T825" s="1140"/>
      <c r="U825" s="1140"/>
      <c r="V825" s="1141"/>
      <c r="W825" s="1516">
        <f>143566-W821-W823+6018-5220</f>
        <v>91936</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0">
        <f>SUM(W821:AC825)</f>
        <v>144364</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6">
        <v>35166</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92">
        <v>4000</v>
      </c>
      <c r="X829" s="1192"/>
      <c r="Y829" s="1192"/>
      <c r="Z829" s="1192"/>
      <c r="AA829" s="1192"/>
      <c r="AB829" s="1192"/>
      <c r="AC829" s="119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92">
        <v>7000</v>
      </c>
      <c r="X830" s="1192"/>
      <c r="Y830" s="1192"/>
      <c r="Z830" s="1192"/>
      <c r="AA830" s="1192"/>
      <c r="AB830" s="1192"/>
      <c r="AC830" s="119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92">
        <v>22000</v>
      </c>
      <c r="X831" s="1192"/>
      <c r="Y831" s="1192"/>
      <c r="Z831" s="1192"/>
      <c r="AA831" s="1192"/>
      <c r="AB831" s="1192"/>
      <c r="AC831" s="119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92">
        <v>3160</v>
      </c>
      <c r="X832" s="1192"/>
      <c r="Y832" s="1192"/>
      <c r="Z832" s="1192"/>
      <c r="AA832" s="1192"/>
      <c r="AB832" s="1192"/>
      <c r="AC832" s="119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92">
        <v>22000</v>
      </c>
      <c r="X833" s="1192"/>
      <c r="Y833" s="1192"/>
      <c r="Z833" s="1192"/>
      <c r="AA833" s="1192"/>
      <c r="AB833" s="1192"/>
      <c r="AC833" s="119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92">
        <v>9000</v>
      </c>
      <c r="X834" s="1192"/>
      <c r="Y834" s="1192"/>
      <c r="Z834" s="1192"/>
      <c r="AA834" s="1192"/>
      <c r="AB834" s="1192"/>
      <c r="AC834" s="1192"/>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93" t="s">
        <v>2428</v>
      </c>
      <c r="N835" s="1140"/>
      <c r="O835" s="1140"/>
      <c r="P835" s="1140"/>
      <c r="Q835" s="1140"/>
      <c r="R835" s="1140"/>
      <c r="S835" s="1140"/>
      <c r="T835" s="1140"/>
      <c r="U835" s="1140"/>
      <c r="V835" s="1141"/>
      <c r="W835" s="1192">
        <f>3500+2300+7000+3000-374</f>
        <v>15426</v>
      </c>
      <c r="X835" s="1192"/>
      <c r="Y835" s="1192"/>
      <c r="Z835" s="1192"/>
      <c r="AA835" s="1192"/>
      <c r="AB835" s="1192"/>
      <c r="AC835" s="1192"/>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4">
        <f>SUM(W829:AC835)</f>
        <v>82586</v>
      </c>
      <c r="X836" s="1154"/>
      <c r="Y836" s="1154"/>
      <c r="Z836" s="1154"/>
      <c r="AA836" s="1154"/>
      <c r="AB836" s="1154"/>
      <c r="AC836" s="1154"/>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39" t="s">
        <v>591</v>
      </c>
      <c r="N838" s="1140"/>
      <c r="O838" s="1140"/>
      <c r="P838" s="1140"/>
      <c r="Q838" s="1140"/>
      <c r="R838" s="1140"/>
      <c r="S838" s="1140"/>
      <c r="T838" s="1140"/>
      <c r="U838" s="1140"/>
      <c r="V838" s="1141"/>
      <c r="W838" s="1142"/>
      <c r="X838" s="1143"/>
      <c r="Y838" s="1143"/>
      <c r="Z838" s="1143"/>
      <c r="AA838" s="1143"/>
      <c r="AB838" s="1143"/>
      <c r="AC838" s="1144"/>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39" t="s">
        <v>591</v>
      </c>
      <c r="N839" s="1140"/>
      <c r="O839" s="1140"/>
      <c r="P839" s="1140"/>
      <c r="Q839" s="1140"/>
      <c r="R839" s="1140"/>
      <c r="S839" s="1140"/>
      <c r="T839" s="1140"/>
      <c r="U839" s="1140"/>
      <c r="V839" s="1141"/>
      <c r="W839" s="1142"/>
      <c r="X839" s="1143"/>
      <c r="Y839" s="1143"/>
      <c r="Z839" s="1143"/>
      <c r="AA839" s="1143"/>
      <c r="AB839" s="1143"/>
      <c r="AC839" s="1144"/>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9" t="s">
        <v>591</v>
      </c>
      <c r="N840" s="1140"/>
      <c r="O840" s="1140"/>
      <c r="P840" s="1140"/>
      <c r="Q840" s="1140"/>
      <c r="R840" s="1140"/>
      <c r="S840" s="1140"/>
      <c r="T840" s="1140"/>
      <c r="U840" s="1140"/>
      <c r="V840" s="1141"/>
      <c r="W840" s="1142"/>
      <c r="X840" s="1143"/>
      <c r="Y840" s="1143"/>
      <c r="Z840" s="1143"/>
      <c r="AA840" s="1143"/>
      <c r="AB840" s="1143"/>
      <c r="AC840" s="114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9" t="s">
        <v>591</v>
      </c>
      <c r="N841" s="1140"/>
      <c r="O841" s="1140"/>
      <c r="P841" s="1140"/>
      <c r="Q841" s="1140"/>
      <c r="R841" s="1140"/>
      <c r="S841" s="1140"/>
      <c r="T841" s="1140"/>
      <c r="U841" s="1140"/>
      <c r="V841" s="1141"/>
      <c r="W841" s="1142"/>
      <c r="X841" s="1143"/>
      <c r="Y841" s="1143"/>
      <c r="Z841" s="1143"/>
      <c r="AA841" s="1143"/>
      <c r="AB841" s="1143"/>
      <c r="AC841" s="114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9" t="s">
        <v>591</v>
      </c>
      <c r="N842" s="1140"/>
      <c r="O842" s="1140"/>
      <c r="P842" s="1140"/>
      <c r="Q842" s="1140"/>
      <c r="R842" s="1140"/>
      <c r="S842" s="1140"/>
      <c r="T842" s="1140"/>
      <c r="U842" s="1140"/>
      <c r="V842" s="1141"/>
      <c r="W842" s="1142"/>
      <c r="X842" s="1143"/>
      <c r="Y842" s="1143"/>
      <c r="Z842" s="1143"/>
      <c r="AA842" s="1143"/>
      <c r="AB842" s="1143"/>
      <c r="AC842" s="114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8">
        <f>SUM(W838:AC842)</f>
        <v>0</v>
      </c>
      <c r="X843" s="1149"/>
      <c r="Y843" s="1149"/>
      <c r="Z843" s="1149"/>
      <c r="AA843" s="1149"/>
      <c r="AB843" s="1149"/>
      <c r="AC843" s="115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8">
        <f>W811+W819+W826+W827+W836+W843+W813</f>
        <v>450983</v>
      </c>
      <c r="AD847" s="1149"/>
      <c r="AE847" s="1149"/>
      <c r="AF847" s="1149"/>
      <c r="AG847" s="1149"/>
      <c r="AH847" s="1150"/>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9">
        <f>O762+O742+G717</f>
        <v>59</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9">
        <f>IF(ISERROR((ROUNDDOWN(AC847/AC848,0))),0,(ROUNDDOWN(AC847/AC848,0)))</f>
        <v>7643</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1">
        <f>+[1]EVERYTHING!$C$74</f>
        <v>293729.57142857142</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4">
        <f>15*58*12/2</f>
        <v>5220</v>
      </c>
      <c r="AD851" s="1192"/>
      <c r="AE851" s="1192"/>
      <c r="AF851" s="1192"/>
      <c r="AG851" s="1192"/>
      <c r="AH851" s="1192"/>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2">
        <v>49623</v>
      </c>
      <c r="AD852" s="1143"/>
      <c r="AE852" s="1143"/>
      <c r="AF852" s="1143"/>
      <c r="AG852" s="1143"/>
      <c r="AH852" s="1144"/>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2">
        <f>+[1]EVERYTHING!$U$47</f>
        <v>29500</v>
      </c>
      <c r="AD853" s="1143"/>
      <c r="AE853" s="1143"/>
      <c r="AF853" s="1143"/>
      <c r="AG853" s="1143"/>
      <c r="AH853" s="1144"/>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2">
        <f>+[1]EVERYTHING!$U$39</f>
        <v>6000</v>
      </c>
      <c r="AD854" s="1143"/>
      <c r="AE854" s="1143"/>
      <c r="AF854" s="1143"/>
      <c r="AG854" s="1143"/>
      <c r="AH854" s="1144"/>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2"/>
      <c r="AD855" s="1143"/>
      <c r="AE855" s="1143"/>
      <c r="AF855" s="1143"/>
      <c r="AG855" s="1143"/>
      <c r="AH855" s="1144"/>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7"/>
      <c r="AD856" s="1192"/>
      <c r="AE856" s="1192"/>
      <c r="AF856" s="1192"/>
      <c r="AG856" s="1192"/>
      <c r="AH856" s="1192"/>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3" t="s">
        <v>1259</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2"/>
      <c r="AD857" s="1192"/>
      <c r="AE857" s="1192"/>
      <c r="AF857" s="1192"/>
      <c r="AG857" s="1192"/>
      <c r="AH857" s="1192"/>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3" t="s">
        <v>1259</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2"/>
      <c r="AD858" s="1192"/>
      <c r="AE858" s="1192"/>
      <c r="AF858" s="1192"/>
      <c r="AG858" s="1192"/>
      <c r="AH858" s="1192"/>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3"/>
      <c r="AQ860" s="1213"/>
      <c r="AR860" s="1213"/>
      <c r="AS860" s="121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2"/>
      <c r="AA862" s="1143"/>
      <c r="AB862" s="1143"/>
      <c r="AC862" s="1143"/>
      <c r="AD862" s="1143"/>
      <c r="AE862" s="1144"/>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2"/>
      <c r="AA863" s="1143"/>
      <c r="AB863" s="1143"/>
      <c r="AC863" s="1143"/>
      <c r="AD863" s="1143"/>
      <c r="AE863" s="1144"/>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2"/>
      <c r="AA864" s="1143"/>
      <c r="AB864" s="1143"/>
      <c r="AC864" s="1143"/>
      <c r="AD864" s="1143"/>
      <c r="AE864" s="1144"/>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8">
        <f>Z862-(Z863+Z864)</f>
        <v>0</v>
      </c>
      <c r="AA865" s="1149"/>
      <c r="AB865" s="1149"/>
      <c r="AC865" s="1149"/>
      <c r="AD865" s="1149"/>
      <c r="AE865" s="1150"/>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5" t="s">
        <v>136</v>
      </c>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c r="AC872" s="1145"/>
      <c r="AD872" s="1145"/>
      <c r="AE872" s="1145"/>
      <c r="AF872" s="1145"/>
      <c r="AG872" s="1145"/>
      <c r="AH872" s="1145"/>
      <c r="AI872" s="1145"/>
      <c r="AJ872" s="1145"/>
      <c r="AK872" s="1145"/>
      <c r="AL872" s="1145"/>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c r="AC873" s="1145"/>
      <c r="AD873" s="1145"/>
      <c r="AE873" s="1145"/>
      <c r="AF873" s="1145"/>
      <c r="AG873" s="1145"/>
      <c r="AH873" s="1145"/>
      <c r="AI873" s="1145"/>
      <c r="AJ873" s="1145"/>
      <c r="AK873" s="1145"/>
      <c r="AL873" s="1145"/>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6" t="s">
        <v>1003</v>
      </c>
      <c r="G877" s="1527"/>
      <c r="H877" s="1527"/>
      <c r="I877" s="1527"/>
      <c r="J877" s="1527"/>
      <c r="K877" s="1527"/>
      <c r="L877" s="1527"/>
      <c r="M877" s="1527"/>
      <c r="N877" s="1527"/>
      <c r="O877" s="1527"/>
      <c r="P877" s="1527"/>
      <c r="Q877" s="1527"/>
      <c r="R877" s="1527"/>
      <c r="S877" s="1527"/>
      <c r="T877" s="1528"/>
      <c r="U877" s="1169" t="s">
        <v>366</v>
      </c>
      <c r="V877" s="1170"/>
      <c r="W877" s="1170"/>
      <c r="X877" s="1170"/>
      <c r="Y877" s="1170"/>
      <c r="Z877" s="117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1" t="s">
        <v>1084</v>
      </c>
      <c r="G878" s="1172"/>
      <c r="H878" s="1172"/>
      <c r="I878" s="1172"/>
      <c r="J878" s="1172"/>
      <c r="K878" s="1172"/>
      <c r="L878" s="1172"/>
      <c r="M878" s="1172"/>
      <c r="N878" s="1172"/>
      <c r="O878" s="1172"/>
      <c r="P878" s="1172"/>
      <c r="Q878" s="1172"/>
      <c r="R878" s="1172"/>
      <c r="S878" s="1172"/>
      <c r="T878" s="1267"/>
      <c r="U878" s="1171"/>
      <c r="V878" s="1172"/>
      <c r="W878" s="1172"/>
      <c r="X878" s="1172"/>
      <c r="Y878" s="1172"/>
      <c r="Z878" s="117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3"/>
      <c r="G879" s="1174"/>
      <c r="H879" s="1174"/>
      <c r="I879" s="1174"/>
      <c r="J879" s="1174"/>
      <c r="K879" s="1174"/>
      <c r="L879" s="1174"/>
      <c r="M879" s="1174"/>
      <c r="N879" s="1174"/>
      <c r="O879" s="1174"/>
      <c r="P879" s="1174"/>
      <c r="Q879" s="1174"/>
      <c r="R879" s="1174"/>
      <c r="S879" s="1174"/>
      <c r="T879" s="1268"/>
      <c r="U879" s="1173"/>
      <c r="V879" s="1174"/>
      <c r="W879" s="1174"/>
      <c r="X879" s="1174"/>
      <c r="Y879" s="1174"/>
      <c r="Z879" s="1174"/>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4" t="s">
        <v>116</v>
      </c>
      <c r="V880" s="1099"/>
      <c r="W880" s="1099"/>
      <c r="X880" s="1099"/>
      <c r="Y880" s="1099"/>
      <c r="Z880" s="1165"/>
      <c r="AA880" s="1190">
        <f>+[1]EVERYTHING!$C$7</f>
        <v>3000000</v>
      </c>
      <c r="AB880" s="1130"/>
      <c r="AC880" s="1130"/>
      <c r="AD880" s="1130"/>
      <c r="AE880" s="1130"/>
      <c r="AF880" s="119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4" t="s">
        <v>132</v>
      </c>
      <c r="V881" s="1099"/>
      <c r="W881" s="1099"/>
      <c r="X881" s="1099"/>
      <c r="Y881" s="1099"/>
      <c r="Z881" s="1165"/>
      <c r="AA881" s="1190"/>
      <c r="AB881" s="1130"/>
      <c r="AC881" s="1130"/>
      <c r="AD881" s="1130"/>
      <c r="AE881" s="1130"/>
      <c r="AF881" s="119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64" t="s">
        <v>132</v>
      </c>
      <c r="V882" s="1099"/>
      <c r="W882" s="1099"/>
      <c r="X882" s="1099"/>
      <c r="Y882" s="1099"/>
      <c r="Z882" s="1165"/>
      <c r="AA882" s="1190"/>
      <c r="AB882" s="1130"/>
      <c r="AC882" s="1130"/>
      <c r="AD882" s="1130"/>
      <c r="AE882" s="1130"/>
      <c r="AF882" s="119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64" t="s">
        <v>132</v>
      </c>
      <c r="V883" s="1099"/>
      <c r="W883" s="1099"/>
      <c r="X883" s="1099"/>
      <c r="Y883" s="1099"/>
      <c r="Z883" s="1165"/>
      <c r="AA883" s="1190"/>
      <c r="AB883" s="1130"/>
      <c r="AC883" s="1130"/>
      <c r="AD883" s="1130"/>
      <c r="AE883" s="1130"/>
      <c r="AF883" s="119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64" t="s">
        <v>132</v>
      </c>
      <c r="V884" s="1099"/>
      <c r="W884" s="1099"/>
      <c r="X884" s="1099"/>
      <c r="Y884" s="1099"/>
      <c r="Z884" s="1165"/>
      <c r="AA884" s="1190"/>
      <c r="AB884" s="1130"/>
      <c r="AC884" s="1130"/>
      <c r="AD884" s="1130"/>
      <c r="AE884" s="1130"/>
      <c r="AF884" s="119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4" t="s">
        <v>132</v>
      </c>
      <c r="V885" s="1099"/>
      <c r="W885" s="1099"/>
      <c r="X885" s="1099"/>
      <c r="Y885" s="1099"/>
      <c r="Z885" s="1165"/>
      <c r="AA885" s="1190"/>
      <c r="AB885" s="1130"/>
      <c r="AC885" s="1130"/>
      <c r="AD885" s="1130"/>
      <c r="AE885" s="1130"/>
      <c r="AF885" s="119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4" t="s">
        <v>132</v>
      </c>
      <c r="V886" s="1099"/>
      <c r="W886" s="1099"/>
      <c r="X886" s="1099"/>
      <c r="Y886" s="1099"/>
      <c r="Z886" s="1165"/>
      <c r="AA886" s="1190"/>
      <c r="AB886" s="1130"/>
      <c r="AC886" s="1130"/>
      <c r="AD886" s="1130"/>
      <c r="AE886" s="1130"/>
      <c r="AF886" s="119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4" t="s">
        <v>132</v>
      </c>
      <c r="V887" s="1099"/>
      <c r="W887" s="1099"/>
      <c r="X887" s="1099"/>
      <c r="Y887" s="1099"/>
      <c r="Z887" s="1165"/>
      <c r="AA887" s="1190"/>
      <c r="AB887" s="1130"/>
      <c r="AC887" s="1130"/>
      <c r="AD887" s="1130"/>
      <c r="AE887" s="1130"/>
      <c r="AF887" s="119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64" t="s">
        <v>132</v>
      </c>
      <c r="V888" s="1099"/>
      <c r="W888" s="1099"/>
      <c r="X888" s="1099"/>
      <c r="Y888" s="1099"/>
      <c r="Z888" s="1165"/>
      <c r="AA888" s="1190"/>
      <c r="AB888" s="1130"/>
      <c r="AC888" s="1130"/>
      <c r="AD888" s="1130"/>
      <c r="AE888" s="1130"/>
      <c r="AF888" s="119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64" t="s">
        <v>132</v>
      </c>
      <c r="V889" s="1099"/>
      <c r="W889" s="1099"/>
      <c r="X889" s="1099"/>
      <c r="Y889" s="1099"/>
      <c r="Z889" s="1165"/>
      <c r="AA889" s="1190"/>
      <c r="AB889" s="1130"/>
      <c r="AC889" s="1130"/>
      <c r="AD889" s="1130"/>
      <c r="AE889" s="1130"/>
      <c r="AF889" s="119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3" t="s">
        <v>132</v>
      </c>
      <c r="V890" s="1274"/>
      <c r="W890" s="1274"/>
      <c r="X890" s="1274"/>
      <c r="Y890" s="1274"/>
      <c r="Z890" s="1275"/>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64" t="s">
        <v>132</v>
      </c>
      <c r="V891" s="1099"/>
      <c r="W891" s="1099"/>
      <c r="X891" s="1099"/>
      <c r="Y891" s="1099"/>
      <c r="Z891" s="1165"/>
      <c r="AA891" s="1190"/>
      <c r="AB891" s="1130"/>
      <c r="AC891" s="1130"/>
      <c r="AD891" s="1130"/>
      <c r="AE891" s="1130"/>
      <c r="AF891" s="119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64" t="s">
        <v>132</v>
      </c>
      <c r="V892" s="1099"/>
      <c r="W892" s="1099"/>
      <c r="X892" s="1099"/>
      <c r="Y892" s="1099"/>
      <c r="Z892" s="1165"/>
      <c r="AA892" s="1190"/>
      <c r="AB892" s="1130"/>
      <c r="AC892" s="1130"/>
      <c r="AD892" s="1130"/>
      <c r="AE892" s="1130"/>
      <c r="AF892" s="119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4" t="s">
        <v>132</v>
      </c>
      <c r="V893" s="1099"/>
      <c r="W893" s="1099"/>
      <c r="X893" s="1099"/>
      <c r="Y893" s="1099"/>
      <c r="Z893" s="1165"/>
      <c r="AA893" s="1190"/>
      <c r="AB893" s="1130"/>
      <c r="AC893" s="1130"/>
      <c r="AD893" s="1130"/>
      <c r="AE893" s="1130"/>
      <c r="AF893" s="119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20" t="s">
        <v>510</v>
      </c>
      <c r="Q894" s="1099"/>
      <c r="R894" s="1099"/>
      <c r="S894" s="1099"/>
      <c r="T894" s="1165"/>
      <c r="U894" s="1164" t="s">
        <v>132</v>
      </c>
      <c r="V894" s="1099"/>
      <c r="W894" s="1099"/>
      <c r="X894" s="1099"/>
      <c r="Y894" s="1099"/>
      <c r="Z894" s="1165"/>
      <c r="AA894" s="1190"/>
      <c r="AB894" s="1130"/>
      <c r="AC894" s="1130"/>
      <c r="AD894" s="1130"/>
      <c r="AE894" s="1130"/>
      <c r="AF894" s="119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93" t="s">
        <v>2401</v>
      </c>
      <c r="J895" s="1194"/>
      <c r="K895" s="1194"/>
      <c r="L895" s="1194"/>
      <c r="M895" s="1194"/>
      <c r="N895" s="1194"/>
      <c r="O895" s="1194"/>
      <c r="P895" s="1194"/>
      <c r="Q895" s="1194"/>
      <c r="R895" s="1194"/>
      <c r="S895" s="1194"/>
      <c r="T895" s="1195"/>
      <c r="U895" s="1164" t="s">
        <v>116</v>
      </c>
      <c r="V895" s="1099"/>
      <c r="W895" s="1099"/>
      <c r="X895" s="1099"/>
      <c r="Y895" s="1099"/>
      <c r="Z895" s="1165"/>
      <c r="AA895" s="1190">
        <f>+[1]EVERYTHING!$C$9</f>
        <v>6000000</v>
      </c>
      <c r="AB895" s="1130"/>
      <c r="AC895" s="1130"/>
      <c r="AD895" s="1130"/>
      <c r="AE895" s="1130"/>
      <c r="AF895" s="119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93" t="s">
        <v>2402</v>
      </c>
      <c r="J896" s="1194"/>
      <c r="K896" s="1194"/>
      <c r="L896" s="1194"/>
      <c r="M896" s="1194"/>
      <c r="N896" s="1194"/>
      <c r="O896" s="1194"/>
      <c r="P896" s="1194"/>
      <c r="Q896" s="1194"/>
      <c r="R896" s="1194"/>
      <c r="S896" s="1194"/>
      <c r="T896" s="1195"/>
      <c r="U896" s="1164" t="s">
        <v>116</v>
      </c>
      <c r="V896" s="1099"/>
      <c r="W896" s="1099"/>
      <c r="X896" s="1099"/>
      <c r="Y896" s="1099"/>
      <c r="Z896" s="1165"/>
      <c r="AA896" s="1190">
        <f>+[1]EVERYTHING!$C$8</f>
        <v>1300000</v>
      </c>
      <c r="AB896" s="1130"/>
      <c r="AC896" s="1130"/>
      <c r="AD896" s="1130"/>
      <c r="AE896" s="1130"/>
      <c r="AF896" s="119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93" t="s">
        <v>2412</v>
      </c>
      <c r="J897" s="1194"/>
      <c r="K897" s="1194"/>
      <c r="L897" s="1194"/>
      <c r="M897" s="1194"/>
      <c r="N897" s="1194"/>
      <c r="O897" s="1194"/>
      <c r="P897" s="1194"/>
      <c r="Q897" s="1194"/>
      <c r="R897" s="1194"/>
      <c r="S897" s="1194"/>
      <c r="T897" s="1195"/>
      <c r="U897" s="1164" t="s">
        <v>116</v>
      </c>
      <c r="V897" s="1099"/>
      <c r="W897" s="1099"/>
      <c r="X897" s="1099"/>
      <c r="Y897" s="1099"/>
      <c r="Z897" s="1165"/>
      <c r="AA897" s="1190">
        <f>+[1]EVERYTHING!$C$13</f>
        <v>216780</v>
      </c>
      <c r="AB897" s="1130"/>
      <c r="AC897" s="1130"/>
      <c r="AD897" s="1130"/>
      <c r="AE897" s="1130"/>
      <c r="AF897" s="119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93" t="s">
        <v>2421</v>
      </c>
      <c r="J898" s="1194"/>
      <c r="K898" s="1194"/>
      <c r="L898" s="1194"/>
      <c r="M898" s="1194"/>
      <c r="N898" s="1194"/>
      <c r="O898" s="1194"/>
      <c r="P898" s="1194"/>
      <c r="Q898" s="1194"/>
      <c r="R898" s="1194"/>
      <c r="S898" s="1194"/>
      <c r="T898" s="1195"/>
      <c r="U898" s="1164" t="s">
        <v>132</v>
      </c>
      <c r="V898" s="1099"/>
      <c r="W898" s="1099"/>
      <c r="X898" s="1099"/>
      <c r="Y898" s="1099"/>
      <c r="Z898" s="1165"/>
      <c r="AA898" s="1190"/>
      <c r="AB898" s="1130"/>
      <c r="AC898" s="1130"/>
      <c r="AD898" s="1130"/>
      <c r="AE898" s="1130"/>
      <c r="AF898" s="119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202">
        <v>45117</v>
      </c>
      <c r="M903" s="1307"/>
      <c r="N903" s="1307"/>
      <c r="O903" s="1307"/>
      <c r="P903" s="1307"/>
      <c r="Q903" s="1307"/>
      <c r="R903" s="1307"/>
      <c r="S903" s="1339"/>
      <c r="U903" s="72" t="s">
        <v>866</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38" t="s">
        <v>2415</v>
      </c>
      <c r="M904" s="1307"/>
      <c r="N904" s="1307"/>
      <c r="O904" s="1307"/>
      <c r="P904" s="1307"/>
      <c r="Q904" s="1307"/>
      <c r="R904" s="1307"/>
      <c r="S904" s="1339"/>
      <c r="U904" s="72" t="s">
        <v>867</v>
      </c>
      <c r="V904" s="9"/>
      <c r="W904" s="9"/>
      <c r="X904" s="9"/>
      <c r="Y904" s="9"/>
      <c r="Z904" s="9"/>
      <c r="AA904" s="9"/>
      <c r="AB904" s="9"/>
      <c r="AC904" s="9"/>
      <c r="AD904" s="52"/>
      <c r="AE904" s="1205"/>
      <c r="AF904" s="1129"/>
      <c r="AG904" s="1129"/>
      <c r="AH904" s="1129"/>
      <c r="AI904" s="1129"/>
      <c r="AJ904" s="1129"/>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66" t="s">
        <v>2430</v>
      </c>
      <c r="M905" s="1167"/>
      <c r="N905" s="1167"/>
      <c r="O905" s="1167"/>
      <c r="P905" s="1167"/>
      <c r="Q905" s="1167"/>
      <c r="R905" s="1167"/>
      <c r="S905" s="1168"/>
      <c r="U905" s="72" t="s">
        <v>1153</v>
      </c>
      <c r="V905" s="9"/>
      <c r="W905" s="9"/>
      <c r="AE905" s="1166" t="s">
        <v>84</v>
      </c>
      <c r="AF905" s="1167"/>
      <c r="AG905" s="1167"/>
      <c r="AH905" s="1167"/>
      <c r="AI905" s="1167"/>
      <c r="AJ905" s="1167"/>
      <c r="AK905" s="1168"/>
      <c r="AL905" s="74"/>
      <c r="AM905" s="43"/>
      <c r="AN905" s="43"/>
      <c r="AO905" s="43"/>
      <c r="AP905" s="43"/>
      <c r="AQ905" s="43"/>
      <c r="AR905" s="43"/>
      <c r="AS905" s="43"/>
      <c r="AT905" s="43"/>
      <c r="AU905" s="43"/>
      <c r="AV905" s="43"/>
      <c r="AW905" s="38" t="s">
        <v>618</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99">
        <f>14/58</f>
        <v>0.2413793103448276</v>
      </c>
      <c r="M906" s="1200"/>
      <c r="N906" s="1200"/>
      <c r="O906" s="1200"/>
      <c r="P906" s="1200"/>
      <c r="Q906" s="1200"/>
      <c r="R906" s="1200"/>
      <c r="S906" s="1201"/>
      <c r="U906" s="72" t="s">
        <v>868</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29">
        <f>+[1]EVERYTHING!$Q$26</f>
        <v>14</v>
      </c>
      <c r="M907" s="1330"/>
      <c r="N907" s="1330"/>
      <c r="O907" s="1330"/>
      <c r="P907" s="1330"/>
      <c r="Q907" s="1330"/>
      <c r="R907" s="1330"/>
      <c r="S907" s="1331"/>
      <c r="U907" s="72" t="s">
        <v>869</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619</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42">
        <f>Z773</f>
        <v>193872</v>
      </c>
      <c r="M908" s="1143"/>
      <c r="N908" s="1143"/>
      <c r="O908" s="1143"/>
      <c r="P908" s="1143"/>
      <c r="Q908" s="1143"/>
      <c r="R908" s="1143"/>
      <c r="S908" s="1144"/>
      <c r="U908" s="72" t="s">
        <v>870</v>
      </c>
      <c r="V908" s="9"/>
      <c r="W908" s="9"/>
      <c r="X908" s="9"/>
      <c r="Y908" s="9"/>
      <c r="Z908" s="9"/>
      <c r="AA908" s="9"/>
      <c r="AB908" s="9"/>
      <c r="AC908" s="9"/>
      <c r="AD908" s="52"/>
      <c r="AE908" s="1190"/>
      <c r="AF908" s="1130"/>
      <c r="AG908" s="1130"/>
      <c r="AH908" s="1130"/>
      <c r="AI908" s="1130"/>
      <c r="AJ908" s="1130"/>
      <c r="AK908" s="1191"/>
      <c r="AL908" s="74"/>
      <c r="AM908" s="43"/>
      <c r="AN908" s="43"/>
      <c r="AO908" s="43"/>
      <c r="AP908" s="43"/>
      <c r="AQ908" s="43"/>
      <c r="AR908" s="43"/>
      <c r="AS908" s="43"/>
      <c r="AT908" s="43"/>
      <c r="AU908" s="43"/>
      <c r="AV908" s="43"/>
      <c r="AW908" s="38" t="s">
        <v>158</v>
      </c>
      <c r="AX908" s="206">
        <v>2</v>
      </c>
      <c r="AY908" s="1186">
        <f>IF(AD952&gt;0,0.02,0)</f>
        <v>0</v>
      </c>
      <c r="AZ908" s="118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42">
        <f>L908*20</f>
        <v>3877440</v>
      </c>
      <c r="M909" s="1143"/>
      <c r="N909" s="1143"/>
      <c r="O909" s="1143"/>
      <c r="P909" s="1143"/>
      <c r="Q909" s="1143"/>
      <c r="R909" s="1143"/>
      <c r="S909" s="1144"/>
      <c r="U909" s="72" t="s">
        <v>871</v>
      </c>
      <c r="V909" s="9"/>
      <c r="W909" s="9"/>
      <c r="X909" s="9"/>
      <c r="Y909" s="9"/>
      <c r="Z909" s="9"/>
      <c r="AA909" s="9"/>
      <c r="AB909" s="9"/>
      <c r="AC909" s="9"/>
      <c r="AD909" s="52"/>
      <c r="AE909" s="1190"/>
      <c r="AF909" s="1130"/>
      <c r="AG909" s="1130"/>
      <c r="AH909" s="1130"/>
      <c r="AI909" s="1130"/>
      <c r="AJ909" s="1130"/>
      <c r="AK909" s="1191"/>
      <c r="AL909" s="74"/>
      <c r="AM909" s="43"/>
      <c r="AN909" s="43"/>
      <c r="AO909" s="43"/>
      <c r="AP909" s="43"/>
      <c r="AQ909" s="43"/>
      <c r="AR909" s="43"/>
      <c r="AS909" s="43"/>
      <c r="AT909" s="43"/>
      <c r="AU909" s="43"/>
      <c r="AV909" s="43"/>
      <c r="AW909" s="38" t="s">
        <v>620</v>
      </c>
      <c r="AX909" s="206">
        <v>2</v>
      </c>
      <c r="AY909" s="1186">
        <f>IF(AD954&gt;0,0.02,0)</f>
        <v>0</v>
      </c>
      <c r="AZ909" s="118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329">
        <v>20</v>
      </c>
      <c r="M910" s="1330"/>
      <c r="N910" s="1330"/>
      <c r="O910" s="1330"/>
      <c r="P910" s="1330"/>
      <c r="Q910" s="1330"/>
      <c r="R910" s="1330"/>
      <c r="S910" s="1331"/>
      <c r="U910" s="214" t="s">
        <v>2065</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621</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86"/>
      <c r="AZ911" s="118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6">
        <f>IF(AD971&gt;0,0.1,0)</f>
        <v>0</v>
      </c>
      <c r="AZ913" s="118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46"/>
      <c r="N915" s="1114"/>
      <c r="O915" s="1114"/>
      <c r="P915" s="1114"/>
      <c r="Q915" s="1114"/>
      <c r="R915" s="1114"/>
      <c r="S915" s="1147"/>
      <c r="T915" s="72" t="s">
        <v>992</v>
      </c>
      <c r="U915" s="9"/>
      <c r="V915" s="9"/>
      <c r="W915" s="9"/>
      <c r="X915" s="9"/>
      <c r="Y915" s="9"/>
      <c r="Z915" s="52"/>
      <c r="AA915" s="1146"/>
      <c r="AB915" s="1114"/>
      <c r="AC915" s="1114"/>
      <c r="AD915" s="1114"/>
      <c r="AE915" s="1114"/>
      <c r="AF915" s="1114"/>
      <c r="AG915" s="114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46"/>
      <c r="N916" s="1114"/>
      <c r="O916" s="1114"/>
      <c r="P916" s="1114"/>
      <c r="Q916" s="1114"/>
      <c r="R916" s="1114"/>
      <c r="S916" s="1147"/>
      <c r="T916" s="72" t="s">
        <v>991</v>
      </c>
      <c r="U916" s="9"/>
      <c r="V916" s="9"/>
      <c r="W916" s="9"/>
      <c r="X916" s="9"/>
      <c r="Y916" s="9"/>
      <c r="Z916" s="52"/>
      <c r="AA916" s="1146"/>
      <c r="AB916" s="1114"/>
      <c r="AC916" s="1114"/>
      <c r="AD916" s="1114"/>
      <c r="AE916" s="1114"/>
      <c r="AF916" s="1114"/>
      <c r="AG916" s="1147"/>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62" t="s">
        <v>132</v>
      </c>
      <c r="N917" s="1085"/>
      <c r="O917" s="1085"/>
      <c r="P917" s="1085"/>
      <c r="Q917" s="1085"/>
      <c r="R917" s="1085"/>
      <c r="S917" s="1163"/>
      <c r="T917" s="8" t="s">
        <v>595</v>
      </c>
      <c r="U917" s="9"/>
      <c r="V917" s="9"/>
      <c r="W917" s="9"/>
      <c r="X917" s="9"/>
      <c r="Y917" s="9"/>
      <c r="Z917" s="52"/>
      <c r="AA917" s="1146"/>
      <c r="AB917" s="1114"/>
      <c r="AC917" s="1114"/>
      <c r="AD917" s="1114"/>
      <c r="AE917" s="1114"/>
      <c r="AF917" s="1114"/>
      <c r="AG917" s="114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46"/>
      <c r="N918" s="1114"/>
      <c r="O918" s="1114"/>
      <c r="P918" s="1114"/>
      <c r="Q918" s="1114"/>
      <c r="R918" s="1114"/>
      <c r="S918" s="1147"/>
      <c r="T918" s="8" t="s">
        <v>596</v>
      </c>
      <c r="U918" s="9"/>
      <c r="V918" s="9"/>
      <c r="W918" s="9"/>
      <c r="X918" s="9"/>
      <c r="Y918" s="9"/>
      <c r="Z918" s="52"/>
      <c r="AA918" s="1146"/>
      <c r="AB918" s="1114"/>
      <c r="AC918" s="1114"/>
      <c r="AD918" s="1114"/>
      <c r="AE918" s="1114"/>
      <c r="AF918" s="1114"/>
      <c r="AG918" s="114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6"/>
      <c r="N919" s="1114"/>
      <c r="O919" s="1114"/>
      <c r="P919" s="1114"/>
      <c r="Q919" s="1114"/>
      <c r="R919" s="1114"/>
      <c r="S919" s="1147"/>
      <c r="T919" s="8" t="s">
        <v>521</v>
      </c>
      <c r="U919" s="9"/>
      <c r="V919" s="9"/>
      <c r="W919" s="9"/>
      <c r="X919" s="9"/>
      <c r="Y919" s="9"/>
      <c r="Z919" s="52"/>
      <c r="AA919" s="1146"/>
      <c r="AB919" s="1114"/>
      <c r="AC919" s="1114"/>
      <c r="AD919" s="1114"/>
      <c r="AE919" s="1114"/>
      <c r="AF919" s="1114"/>
      <c r="AG919" s="114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66" t="s">
        <v>84</v>
      </c>
      <c r="N920" s="1167"/>
      <c r="O920" s="1167"/>
      <c r="P920" s="1167"/>
      <c r="Q920" s="1167"/>
      <c r="R920" s="1167"/>
      <c r="S920" s="1168"/>
      <c r="T920" s="1326"/>
      <c r="U920" s="1327"/>
      <c r="V920" s="1327"/>
      <c r="W920" s="1327"/>
      <c r="X920" s="1327"/>
      <c r="Y920" s="1327"/>
      <c r="Z920" s="1328"/>
      <c r="AA920" s="1146"/>
      <c r="AB920" s="1114"/>
      <c r="AC920" s="1114"/>
      <c r="AD920" s="1114"/>
      <c r="AE920" s="1114"/>
      <c r="AF920" s="1114"/>
      <c r="AG920" s="114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6"/>
      <c r="N921" s="1114"/>
      <c r="O921" s="1114"/>
      <c r="P921" s="1114"/>
      <c r="Q921" s="1114"/>
      <c r="R921" s="1114"/>
      <c r="S921" s="1147"/>
      <c r="T921" s="1326"/>
      <c r="U921" s="1327"/>
      <c r="V921" s="1327"/>
      <c r="W921" s="1327"/>
      <c r="X921" s="1327"/>
      <c r="Y921" s="1327"/>
      <c r="Z921" s="1328"/>
      <c r="AA921" s="1146"/>
      <c r="AB921" s="1114"/>
      <c r="AC921" s="1114"/>
      <c r="AD921" s="1114"/>
      <c r="AE921" s="1114"/>
      <c r="AF921" s="1114"/>
      <c r="AG921" s="114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62" t="s">
        <v>510</v>
      </c>
      <c r="P922" s="1163"/>
      <c r="Q922" s="146"/>
      <c r="R922" s="146"/>
      <c r="S922" s="147"/>
      <c r="T922" s="6" t="s">
        <v>297</v>
      </c>
      <c r="U922" s="7"/>
      <c r="V922" s="7"/>
      <c r="W922" s="1321" t="s">
        <v>591</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2" t="s">
        <v>240</v>
      </c>
      <c r="G923" s="1291"/>
      <c r="H923" s="1291"/>
      <c r="I923" s="1291"/>
      <c r="J923" s="1291"/>
      <c r="K923" s="1291"/>
      <c r="L923" s="1291"/>
      <c r="M923" s="1146"/>
      <c r="N923" s="1114"/>
      <c r="O923" s="1114"/>
      <c r="P923" s="1114"/>
      <c r="Q923" s="1114"/>
      <c r="R923" s="1114"/>
      <c r="S923" s="1147"/>
      <c r="T923" s="53"/>
      <c r="U923" s="54"/>
      <c r="V923" s="54"/>
      <c r="W923" s="54"/>
      <c r="X923" s="54"/>
      <c r="Y923" s="54"/>
      <c r="Z923" s="226" t="s">
        <v>241</v>
      </c>
      <c r="AA923" s="1324"/>
      <c r="AB923" s="1288"/>
      <c r="AC923" s="1288"/>
      <c r="AD923" s="1288"/>
      <c r="AE923" s="1288"/>
      <c r="AF923" s="1288"/>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5" t="s">
        <v>137</v>
      </c>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c r="AC927" s="1145"/>
      <c r="AD927" s="1145"/>
      <c r="AE927" s="1145"/>
      <c r="AF927" s="1145"/>
      <c r="AG927" s="1145"/>
      <c r="AH927" s="1145"/>
      <c r="AI927" s="1145"/>
      <c r="AJ927" s="1145"/>
      <c r="AK927" s="1145"/>
      <c r="AL927" s="114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c r="AC928" s="1145"/>
      <c r="AD928" s="1145"/>
      <c r="AE928" s="1145"/>
      <c r="AF928" s="1145"/>
      <c r="AG928" s="1145"/>
      <c r="AH928" s="1145"/>
      <c r="AI928" s="1145"/>
      <c r="AJ928" s="1145"/>
      <c r="AK928" s="1145"/>
      <c r="AL928" s="114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6" t="s">
        <v>452</v>
      </c>
      <c r="E932" s="1197"/>
      <c r="F932" s="1197"/>
      <c r="G932" s="1197"/>
      <c r="H932" s="1197"/>
      <c r="I932" s="1197"/>
      <c r="J932" s="1197"/>
      <c r="K932" s="1197"/>
      <c r="L932" s="1197"/>
      <c r="M932" s="1197"/>
      <c r="N932" s="1197"/>
      <c r="O932" s="1197"/>
      <c r="P932" s="1197"/>
      <c r="Q932" s="1198"/>
      <c r="R932" s="1196" t="s">
        <v>453</v>
      </c>
      <c r="S932" s="1197"/>
      <c r="T932" s="1197"/>
      <c r="U932" s="1197"/>
      <c r="V932" s="1197"/>
      <c r="W932" s="1197"/>
      <c r="X932" s="1197"/>
      <c r="Y932" s="1197"/>
      <c r="Z932" s="1197"/>
      <c r="AA932" s="1198"/>
      <c r="AB932" s="1196" t="s">
        <v>454</v>
      </c>
      <c r="AC932" s="1197"/>
      <c r="AD932" s="1197"/>
      <c r="AE932" s="1197"/>
      <c r="AF932" s="1197"/>
      <c r="AG932" s="1197"/>
      <c r="AH932" s="1197"/>
      <c r="AI932" s="1198"/>
      <c r="AJ932" s="1196" t="s">
        <v>455</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6" t="s">
        <v>447</v>
      </c>
      <c r="E933" s="1187"/>
      <c r="F933" s="1187"/>
      <c r="G933" s="1187"/>
      <c r="H933" s="1187"/>
      <c r="I933" s="1187"/>
      <c r="J933" s="1187"/>
      <c r="K933" s="1187"/>
      <c r="L933" s="1187"/>
      <c r="M933" s="1187"/>
      <c r="N933" s="1187"/>
      <c r="O933" s="1187"/>
      <c r="P933" s="1187"/>
      <c r="Q933" s="1188"/>
      <c r="R933" s="1189">
        <f>IF(ISNA(IF($BA$805="4%",(INDEX($BC$819:$BG$876,MATCH($BO$805,$BB$819:$BB$876,0),MATCH(D933,$BC$817:$BG$817,0))),(INDEX($BJ$819:$BN$876,MATCH($BO$805,$BI$819:$BI$876,0),MATCH(D933,$BJ$817:$BN$817,0))))),0,IF($BA$805="4%",(INDEX($BC$819:$BG$876,MATCH($BO$805,$BB$819:$BB$876,0),MATCH(D933,$BC$817:$BG$817,0))),(INDEX($BJ$819:$BN$876,MATCH($BO$805,$BI$819:$BI$876,0),MATCH(D933,$BJ$817:$BN$817,0)))))</f>
        <v>314634</v>
      </c>
      <c r="S933" s="1189"/>
      <c r="T933" s="1189"/>
      <c r="U933" s="1189"/>
      <c r="V933" s="1189"/>
      <c r="W933" s="1189"/>
      <c r="X933" s="1189"/>
      <c r="Y933" s="1189"/>
      <c r="Z933" s="1189"/>
      <c r="AA933" s="1189"/>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6" t="s">
        <v>470</v>
      </c>
      <c r="E934" s="1187"/>
      <c r="F934" s="1187"/>
      <c r="G934" s="1187"/>
      <c r="H934" s="1187"/>
      <c r="I934" s="1187"/>
      <c r="J934" s="1187"/>
      <c r="K934" s="1187"/>
      <c r="L934" s="1187"/>
      <c r="M934" s="1187"/>
      <c r="N934" s="1187"/>
      <c r="O934" s="1187"/>
      <c r="P934" s="1187"/>
      <c r="Q934" s="1188"/>
      <c r="R934" s="1189">
        <f>IF(ISNA(IF($BA$805="4%",(INDEX($BC$819:$BG$876,MATCH($BO$805,$BB$819:$BB$876,0),MATCH(D934,$BC$817:$BG$817,0))),(INDEX($BJ$819:$BN$876,MATCH($BO$805,$BI$819:$BI$876,0),MATCH(D934,$BJ$817:$BN$817,0))))),0,IF($BA$805="4%",(INDEX($BC$819:$BG$876,MATCH($BO$805,$BB$819:$BB$876,0),MATCH(D934,$BC$817:$BG$817,0))),(INDEX($BJ$819:$BN$876,MATCH($BO$805,$BI$819:$BI$876,0),MATCH(D934,$BJ$817:$BN$817,0)))))</f>
        <v>362770</v>
      </c>
      <c r="S934" s="1189"/>
      <c r="T934" s="1189"/>
      <c r="U934" s="1189"/>
      <c r="V934" s="1189"/>
      <c r="W934" s="1189"/>
      <c r="X934" s="1189"/>
      <c r="Y934" s="1189"/>
      <c r="Z934" s="1189"/>
      <c r="AA934" s="1189"/>
      <c r="AB934" s="1313">
        <f>BS638</f>
        <v>58</v>
      </c>
      <c r="AC934" s="1314"/>
      <c r="AD934" s="1314"/>
      <c r="AE934" s="1314"/>
      <c r="AF934" s="1314"/>
      <c r="AG934" s="1314"/>
      <c r="AH934" s="1314"/>
      <c r="AI934" s="1315"/>
      <c r="AJ934" s="1316">
        <f>IF(ISERROR((R934*AB934)),0,(R934*AB934))</f>
        <v>21040660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6" t="s">
        <v>815</v>
      </c>
      <c r="E935" s="1187"/>
      <c r="F935" s="1187"/>
      <c r="G935" s="1187"/>
      <c r="H935" s="1187"/>
      <c r="I935" s="1187"/>
      <c r="J935" s="1187"/>
      <c r="K935" s="1187"/>
      <c r="L935" s="1187"/>
      <c r="M935" s="1187"/>
      <c r="N935" s="1187"/>
      <c r="O935" s="1187"/>
      <c r="P935" s="1187"/>
      <c r="Q935" s="1188"/>
      <c r="R935" s="1189">
        <f>IF(ISNA(IF($BA$805="4%",(INDEX($BC$819:$BG$876,MATCH($BO$805,$BB$819:$BB$876,0),MATCH(D935,$BC$817:$BG$817,0))),(INDEX($BJ$819:$BN$876,MATCH($BO$805,$BI$819:$BI$876,0),MATCH(D935,$BJ$817:$BN$817,0))))),0,IF($BA$805="4%",(INDEX($BC$819:$BG$876,MATCH($BO$805,$BB$819:$BB$876,0),MATCH(D935,$BC$817:$BG$817,0))),(INDEX($BJ$819:$BN$876,MATCH($BO$805,$BI$819:$BI$876,0),MATCH(D935,$BJ$817:$BN$817,0)))))</f>
        <v>437600</v>
      </c>
      <c r="S935" s="1189"/>
      <c r="T935" s="1189"/>
      <c r="U935" s="1189"/>
      <c r="V935" s="1189"/>
      <c r="W935" s="1189"/>
      <c r="X935" s="1189"/>
      <c r="Y935" s="1189"/>
      <c r="Z935" s="1189"/>
      <c r="AA935" s="1189"/>
      <c r="AB935" s="1313">
        <f>BX638</f>
        <v>1</v>
      </c>
      <c r="AC935" s="1314"/>
      <c r="AD935" s="1314"/>
      <c r="AE935" s="1314"/>
      <c r="AF935" s="1314"/>
      <c r="AG935" s="1314"/>
      <c r="AH935" s="1314"/>
      <c r="AI935" s="1315"/>
      <c r="AJ935" s="1316">
        <f>IF(ISERROR((R935*AB935)),0,(R935*AB935))</f>
        <v>437600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6" t="s">
        <v>816</v>
      </c>
      <c r="E936" s="1187"/>
      <c r="F936" s="1187"/>
      <c r="G936" s="1187"/>
      <c r="H936" s="1187"/>
      <c r="I936" s="1187"/>
      <c r="J936" s="1187"/>
      <c r="K936" s="1187"/>
      <c r="L936" s="1187"/>
      <c r="M936" s="1187"/>
      <c r="N936" s="1187"/>
      <c r="O936" s="1187"/>
      <c r="P936" s="1187"/>
      <c r="Q936" s="1188"/>
      <c r="R936" s="1189">
        <f>IF(ISNA(IF($BA$805="4%",(INDEX($BC$819:$BG$876,MATCH($BO$805,$BB$819:$BB$876,0),MATCH(D936,$BC$817:$BG$817,0))),(INDEX($BJ$819:$BN$876,MATCH($BO$805,$BI$819:$BI$876,0),MATCH(D936,$BJ$817:$BN$817,0))))),0,IF($BA$805="4%",(INDEX($BC$819:$BG$876,MATCH($BO$805,$BB$819:$BB$876,0),MATCH(D936,$BC$817:$BG$817,0))),(INDEX($BJ$819:$BN$876,MATCH($BO$805,$BI$819:$BI$876,0),MATCH(D936,$BJ$817:$BN$817,0)))))</f>
        <v>560128</v>
      </c>
      <c r="S936" s="1189"/>
      <c r="T936" s="1189"/>
      <c r="U936" s="1189"/>
      <c r="V936" s="1189"/>
      <c r="W936" s="1189"/>
      <c r="X936" s="1189"/>
      <c r="Y936" s="1189"/>
      <c r="Z936" s="1189"/>
      <c r="AA936" s="1189"/>
      <c r="AB936" s="1313">
        <f>CC638</f>
        <v>0</v>
      </c>
      <c r="AC936" s="1314"/>
      <c r="AD936" s="1314"/>
      <c r="AE936" s="1314"/>
      <c r="AF936" s="1314"/>
      <c r="AG936" s="1314"/>
      <c r="AH936" s="1314"/>
      <c r="AI936" s="1315"/>
      <c r="AJ936" s="1316">
        <f>IF(ISERROR((R936*AB936)),0,(R936*AB936))</f>
        <v>0</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6" t="s">
        <v>827</v>
      </c>
      <c r="E937" s="1187"/>
      <c r="F937" s="1187"/>
      <c r="G937" s="1187"/>
      <c r="H937" s="1187"/>
      <c r="I937" s="1187"/>
      <c r="J937" s="1187"/>
      <c r="K937" s="1187"/>
      <c r="L937" s="1187"/>
      <c r="M937" s="1187"/>
      <c r="N937" s="1187"/>
      <c r="O937" s="1187"/>
      <c r="P937" s="1187"/>
      <c r="Q937" s="1188"/>
      <c r="R937" s="1189">
        <f>IF(ISNA(IF($BA$805="4%",(INDEX($BC$819:$BG$876,MATCH($BO$805,$BB$819:$BB$876,0),MATCH(D937,$BC$817:$BG$817,0))),(INDEX($BJ$819:$BN$876,MATCH($BO$805,$BI$819:$BI$876,0),MATCH(D937,$BJ$817:$BN$817,0))))),0,IF($BA$805="4%",(INDEX($BC$819:$BG$876,MATCH($BO$805,$BB$819:$BB$876,0),MATCH(D937,$BC$817:$BG$817,0))),(INDEX($BJ$819:$BN$876,MATCH($BO$805,$BI$819:$BI$876,0),MATCH(D937,$BJ$817:$BN$817,0)))))</f>
        <v>624018</v>
      </c>
      <c r="S937" s="1189"/>
      <c r="T937" s="1189"/>
      <c r="U937" s="1189"/>
      <c r="V937" s="1189"/>
      <c r="W937" s="1189"/>
      <c r="X937" s="1189"/>
      <c r="Y937" s="1189"/>
      <c r="Z937" s="1189"/>
      <c r="AA937" s="1189"/>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3" t="s">
        <v>1002</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3">
        <f>SUM(AB933:AI937)</f>
        <v>59</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6" t="s">
        <v>782</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6">
        <f>SUM(AJ933:AQ937)</f>
        <v>21478260</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7" t="s">
        <v>1979</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51" t="s">
        <v>116</v>
      </c>
      <c r="AH941" s="1552"/>
      <c r="AI941" s="85"/>
      <c r="AJ941" s="1344">
        <f>ROUND(IF(AND(AG941="yes",D943&lt;&gt;""),AJ939*0.2,0),0)</f>
        <v>4295652</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0" t="s">
        <v>2091</v>
      </c>
      <c r="E942" s="1181"/>
      <c r="F942" s="1181"/>
      <c r="G942" s="1181"/>
      <c r="H942" s="1181"/>
      <c r="I942" s="1181"/>
      <c r="J942" s="1181"/>
      <c r="K942" s="1181"/>
      <c r="L942" s="1181"/>
      <c r="M942" s="1181"/>
      <c r="N942" s="1181"/>
      <c r="O942" s="1181"/>
      <c r="P942" s="1181"/>
      <c r="Q942" s="1181"/>
      <c r="R942" s="1181"/>
      <c r="S942" s="1181"/>
      <c r="T942" s="1181"/>
      <c r="U942" s="1181"/>
      <c r="V942" s="1181"/>
      <c r="W942" s="1181"/>
      <c r="X942" s="1181"/>
      <c r="Y942" s="1181"/>
      <c r="Z942" s="1181"/>
      <c r="AA942" s="1181"/>
      <c r="AB942" s="1181"/>
      <c r="AC942" s="1181"/>
      <c r="AD942" s="1181"/>
      <c r="AE942" s="1182"/>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9" t="s">
        <v>2431</v>
      </c>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0" t="s">
        <v>2092</v>
      </c>
      <c r="E944" s="1137"/>
      <c r="F944" s="1137"/>
      <c r="G944" s="1137"/>
      <c r="H944" s="1137"/>
      <c r="I944" s="1137"/>
      <c r="J944" s="1137"/>
      <c r="K944" s="1137"/>
      <c r="L944" s="1137"/>
      <c r="M944" s="1137"/>
      <c r="N944" s="1137"/>
      <c r="O944" s="1137"/>
      <c r="P944" s="1137"/>
      <c r="Q944" s="1137"/>
      <c r="R944" s="1137"/>
      <c r="S944" s="1137"/>
      <c r="T944" s="1137"/>
      <c r="U944" s="1137"/>
      <c r="V944" s="1137"/>
      <c r="W944" s="1137"/>
      <c r="X944" s="1137"/>
      <c r="Y944" s="1137"/>
      <c r="Z944" s="1137"/>
      <c r="AA944" s="1137"/>
      <c r="AB944" s="1137"/>
      <c r="AC944" s="1137"/>
      <c r="AD944" s="1137"/>
      <c r="AE944" s="1341"/>
      <c r="AF944" s="82"/>
      <c r="AG944" s="1342" t="s">
        <v>510</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0" t="s">
        <v>1980</v>
      </c>
      <c r="E945" s="1181"/>
      <c r="F945" s="1181"/>
      <c r="G945" s="1181"/>
      <c r="H945" s="1181"/>
      <c r="I945" s="1181"/>
      <c r="J945" s="1181"/>
      <c r="K945" s="1181"/>
      <c r="L945" s="1181"/>
      <c r="M945" s="1181"/>
      <c r="N945" s="1181"/>
      <c r="O945" s="1181"/>
      <c r="P945" s="1181"/>
      <c r="Q945" s="1181"/>
      <c r="R945" s="1181"/>
      <c r="S945" s="1181"/>
      <c r="T945" s="1181"/>
      <c r="U945" s="1181"/>
      <c r="V945" s="1181"/>
      <c r="W945" s="1181"/>
      <c r="X945" s="1181"/>
      <c r="Y945" s="1181"/>
      <c r="Z945" s="1181"/>
      <c r="AA945" s="1181"/>
      <c r="AB945" s="1181"/>
      <c r="AC945" s="1181"/>
      <c r="AD945" s="1181"/>
      <c r="AE945" s="1182"/>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0"/>
      <c r="E946" s="1181"/>
      <c r="F946" s="1181"/>
      <c r="G946" s="1181"/>
      <c r="H946" s="1181"/>
      <c r="I946" s="1181"/>
      <c r="J946" s="1181"/>
      <c r="K946" s="1181"/>
      <c r="L946" s="1181"/>
      <c r="M946" s="1181"/>
      <c r="N946" s="1181"/>
      <c r="O946" s="1181"/>
      <c r="P946" s="1181"/>
      <c r="Q946" s="1181"/>
      <c r="R946" s="1181"/>
      <c r="S946" s="1181"/>
      <c r="T946" s="1181"/>
      <c r="U946" s="1181"/>
      <c r="V946" s="1181"/>
      <c r="W946" s="1181"/>
      <c r="X946" s="1181"/>
      <c r="Y946" s="1181"/>
      <c r="Z946" s="1181"/>
      <c r="AA946" s="1181"/>
      <c r="AB946" s="1181"/>
      <c r="AC946" s="1181"/>
      <c r="AD946" s="1181"/>
      <c r="AE946" s="1182"/>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0"/>
      <c r="E947" s="1181"/>
      <c r="F947" s="1181"/>
      <c r="G947" s="1181"/>
      <c r="H947" s="1181"/>
      <c r="I947" s="1181"/>
      <c r="J947" s="1181"/>
      <c r="K947" s="1181"/>
      <c r="L947" s="1181"/>
      <c r="M947" s="1181"/>
      <c r="N947" s="1181"/>
      <c r="O947" s="1181"/>
      <c r="P947" s="1181"/>
      <c r="Q947" s="1181"/>
      <c r="R947" s="1181"/>
      <c r="S947" s="1181"/>
      <c r="T947" s="1181"/>
      <c r="U947" s="1181"/>
      <c r="V947" s="1181"/>
      <c r="W947" s="1181"/>
      <c r="X947" s="1181"/>
      <c r="Y947" s="1181"/>
      <c r="Z947" s="1181"/>
      <c r="AA947" s="1181"/>
      <c r="AB947" s="1181"/>
      <c r="AC947" s="1181"/>
      <c r="AD947" s="1181"/>
      <c r="AE947" s="1182"/>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0"/>
      <c r="E948" s="1181"/>
      <c r="F948" s="1181"/>
      <c r="G948" s="1181"/>
      <c r="H948" s="1181"/>
      <c r="I948" s="1181"/>
      <c r="J948" s="1181"/>
      <c r="K948" s="1181"/>
      <c r="L948" s="1181"/>
      <c r="M948" s="1181"/>
      <c r="N948" s="1181"/>
      <c r="O948" s="1181"/>
      <c r="P948" s="1181"/>
      <c r="Q948" s="1181"/>
      <c r="R948" s="1181"/>
      <c r="S948" s="1181"/>
      <c r="T948" s="1181"/>
      <c r="U948" s="1181"/>
      <c r="V948" s="1181"/>
      <c r="W948" s="1181"/>
      <c r="X948" s="1181"/>
      <c r="Y948" s="1181"/>
      <c r="Z948" s="1181"/>
      <c r="AA948" s="1181"/>
      <c r="AB948" s="1181"/>
      <c r="AC948" s="1181"/>
      <c r="AD948" s="1181"/>
      <c r="AE948" s="1182"/>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3"/>
      <c r="E949" s="1184"/>
      <c r="F949" s="1184"/>
      <c r="G949" s="1184"/>
      <c r="H949" s="1184"/>
      <c r="I949" s="1184"/>
      <c r="J949" s="1184"/>
      <c r="K949" s="1184"/>
      <c r="L949" s="1184"/>
      <c r="M949" s="1184"/>
      <c r="N949" s="1184"/>
      <c r="O949" s="1184"/>
      <c r="P949" s="1184"/>
      <c r="Q949" s="1184"/>
      <c r="R949" s="1184"/>
      <c r="S949" s="1184"/>
      <c r="T949" s="1184"/>
      <c r="U949" s="1184"/>
      <c r="V949" s="1184"/>
      <c r="W949" s="1184"/>
      <c r="X949" s="1184"/>
      <c r="Y949" s="1184"/>
      <c r="Z949" s="1184"/>
      <c r="AA949" s="1184"/>
      <c r="AB949" s="1184"/>
      <c r="AC949" s="1184"/>
      <c r="AD949" s="1184"/>
      <c r="AE949" s="1185"/>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0" t="s">
        <v>2093</v>
      </c>
      <c r="E950" s="1137"/>
      <c r="F950" s="1137"/>
      <c r="G950" s="1137"/>
      <c r="H950" s="1137"/>
      <c r="I950" s="1137"/>
      <c r="J950" s="1137"/>
      <c r="K950" s="1137"/>
      <c r="L950" s="1137"/>
      <c r="M950" s="1137"/>
      <c r="N950" s="1137"/>
      <c r="O950" s="1137"/>
      <c r="P950" s="1137"/>
      <c r="Q950" s="1137"/>
      <c r="R950" s="1137"/>
      <c r="S950" s="1137"/>
      <c r="T950" s="1137"/>
      <c r="U950" s="1137"/>
      <c r="V950" s="1137"/>
      <c r="W950" s="1137"/>
      <c r="X950" s="1137"/>
      <c r="Y950" s="1137"/>
      <c r="Z950" s="1137"/>
      <c r="AA950" s="1137"/>
      <c r="AB950" s="1137"/>
      <c r="AC950" s="1137"/>
      <c r="AD950" s="1137"/>
      <c r="AE950" s="1341"/>
      <c r="AF950" s="84"/>
      <c r="AG950" s="1342" t="s">
        <v>510</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3" t="s">
        <v>2094</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0" t="s">
        <v>1981</v>
      </c>
      <c r="E954" s="1137"/>
      <c r="F954" s="1137"/>
      <c r="G954" s="1137"/>
      <c r="H954" s="1137"/>
      <c r="I954" s="1137"/>
      <c r="J954" s="1137"/>
      <c r="K954" s="1137"/>
      <c r="L954" s="1137"/>
      <c r="M954" s="1137"/>
      <c r="N954" s="1137"/>
      <c r="O954" s="1137"/>
      <c r="P954" s="1137"/>
      <c r="Q954" s="1137"/>
      <c r="R954" s="1137"/>
      <c r="S954" s="1137"/>
      <c r="T954" s="1137"/>
      <c r="U954" s="1137"/>
      <c r="V954" s="1137"/>
      <c r="W954" s="1137"/>
      <c r="X954" s="1137"/>
      <c r="Y954" s="1137"/>
      <c r="Z954" s="1137"/>
      <c r="AA954" s="1137"/>
      <c r="AB954" s="1137"/>
      <c r="AC954" s="1137"/>
      <c r="AD954" s="1137"/>
      <c r="AE954" s="1341"/>
      <c r="AF954" s="82"/>
      <c r="AG954" s="1342" t="s">
        <v>510</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6" t="s">
        <v>1982</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0" t="s">
        <v>1983</v>
      </c>
      <c r="E956" s="1137"/>
      <c r="F956" s="1137"/>
      <c r="G956" s="1137"/>
      <c r="H956" s="1137"/>
      <c r="I956" s="1137"/>
      <c r="J956" s="1137"/>
      <c r="K956" s="1137"/>
      <c r="L956" s="1137"/>
      <c r="M956" s="1137"/>
      <c r="N956" s="1137"/>
      <c r="O956" s="1137"/>
      <c r="P956" s="1137"/>
      <c r="Q956" s="1137"/>
      <c r="R956" s="1137"/>
      <c r="S956" s="1137"/>
      <c r="T956" s="1137"/>
      <c r="U956" s="1137"/>
      <c r="V956" s="1137"/>
      <c r="W956" s="1137"/>
      <c r="X956" s="1137"/>
      <c r="Y956" s="1137"/>
      <c r="Z956" s="1137"/>
      <c r="AA956" s="1137"/>
      <c r="AB956" s="1137"/>
      <c r="AC956" s="1137"/>
      <c r="AD956" s="1137"/>
      <c r="AE956" s="1341"/>
      <c r="AF956" s="82"/>
      <c r="AG956" s="1342" t="s">
        <v>510</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3" t="s">
        <v>1984</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67" t="s">
        <v>1985</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510</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3" t="s">
        <v>2095</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40" t="s">
        <v>1986</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2" t="s">
        <v>116</v>
      </c>
      <c r="AH963" s="1343"/>
      <c r="AI963" s="85"/>
      <c r="AJ963" s="1344">
        <f>ROUND(IF(AND(AG963="Yes",J967&lt;&gt;"",J967&lt;&gt;"N/A"),MIN(AF966,(0.15*AJ939)),0),0)</f>
        <v>539956</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5" t="str">
        <f>IF(AG963="yes","Please Select Type and Enter Amount:","")</f>
        <v>Please Select Type and Enter Amount:</v>
      </c>
      <c r="AG964" s="1156"/>
      <c r="AH964" s="1156"/>
      <c r="AI964" s="1157"/>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3" t="s">
        <v>1987</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5"/>
      <c r="AG965" s="1156"/>
      <c r="AH965" s="1156"/>
      <c r="AI965" s="1157"/>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8">
        <f>+[1]EVERYTHING!$D$146</f>
        <v>539956</v>
      </c>
      <c r="AG966" s="1158"/>
      <c r="AH966" s="1158"/>
      <c r="AI966" s="1158"/>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46" t="s">
        <v>2416</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58"/>
      <c r="AG967" s="1158"/>
      <c r="AH967" s="1158"/>
      <c r="AI967" s="1158"/>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0" t="s">
        <v>1988</v>
      </c>
      <c r="E968" s="1137"/>
      <c r="F968" s="1137"/>
      <c r="G968" s="1137"/>
      <c r="H968" s="1137"/>
      <c r="I968" s="1137"/>
      <c r="J968" s="1137"/>
      <c r="K968" s="1137"/>
      <c r="L968" s="1137"/>
      <c r="M968" s="1137"/>
      <c r="N968" s="1137"/>
      <c r="O968" s="1137"/>
      <c r="P968" s="1137"/>
      <c r="Q968" s="1137"/>
      <c r="R968" s="1137"/>
      <c r="S968" s="1137"/>
      <c r="T968" s="1137"/>
      <c r="U968" s="1137"/>
      <c r="V968" s="1137"/>
      <c r="W968" s="1137"/>
      <c r="X968" s="1137"/>
      <c r="Y968" s="1137"/>
      <c r="Z968" s="1137"/>
      <c r="AA968" s="1137"/>
      <c r="AB968" s="1137"/>
      <c r="AC968" s="1137"/>
      <c r="AD968" s="1137"/>
      <c r="AE968" s="1341"/>
      <c r="AF968" s="82"/>
      <c r="AG968" s="1342" t="s">
        <v>116</v>
      </c>
      <c r="AH968" s="1343"/>
      <c r="AI968" s="85"/>
      <c r="AJ968" s="1344">
        <f>ROUND(IF(AG968="Yes",AF970,0),0)</f>
        <v>762355</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3" t="s">
        <v>2096</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59" t="str">
        <f>IF(AG968="yes","Please Enter Amount:","")</f>
        <v>Please Enter Amount:</v>
      </c>
      <c r="AG969" s="1160"/>
      <c r="AH969" s="1160"/>
      <c r="AI969" s="1161"/>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8">
        <f>+[1]EVERYTHING!$D$139</f>
        <v>762355</v>
      </c>
      <c r="AG970" s="1158"/>
      <c r="AH970" s="1158"/>
      <c r="AI970" s="1158"/>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8"/>
      <c r="AG971" s="1158"/>
      <c r="AH971" s="1158"/>
      <c r="AI971" s="1158"/>
      <c r="AJ971" s="1347"/>
      <c r="AK971" s="1348"/>
      <c r="AL971" s="1348"/>
      <c r="AM971" s="1348"/>
      <c r="AN971" s="1348"/>
      <c r="AO971" s="1348"/>
      <c r="AP971" s="1348"/>
      <c r="AQ971" s="1349"/>
    </row>
    <row r="972" spans="1:97" ht="12.95" customHeight="1">
      <c r="A972" s="21"/>
      <c r="B972" s="82"/>
      <c r="C972" s="562" t="s">
        <v>607</v>
      </c>
      <c r="D972" s="1367" t="s">
        <v>1989</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116</v>
      </c>
      <c r="AH972" s="1343"/>
      <c r="AI972" s="85"/>
      <c r="AJ972" s="1344">
        <f>ROUND(IF(AG972="yes",(AJ939*0.1),0),0)</f>
        <v>2147826</v>
      </c>
      <c r="AK972" s="1345"/>
      <c r="AL972" s="1345"/>
      <c r="AM972" s="1345"/>
      <c r="AN972" s="1345"/>
      <c r="AO972" s="1345"/>
      <c r="AP972" s="1345"/>
      <c r="AQ972" s="1346"/>
    </row>
    <row r="973" spans="1:97" ht="12.95" customHeight="1">
      <c r="A973" s="21"/>
      <c r="B973" s="79"/>
      <c r="C973" s="563"/>
      <c r="D973" s="1353" t="s">
        <v>1990</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2.95"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2.95" customHeight="1">
      <c r="A975" s="561"/>
      <c r="B975" s="79"/>
      <c r="C975" s="562" t="s">
        <v>610</v>
      </c>
      <c r="D975" s="1340" t="s">
        <v>2097</v>
      </c>
      <c r="E975" s="1137"/>
      <c r="F975" s="1137"/>
      <c r="G975" s="1137"/>
      <c r="H975" s="1137"/>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341"/>
      <c r="AF975" s="82"/>
      <c r="AG975" s="1342" t="s">
        <v>510</v>
      </c>
      <c r="AH975" s="1343"/>
      <c r="AI975" s="85"/>
      <c r="AJ975" s="1344">
        <f>ROUND(IF(AG975="yes",(AJ939*0.15),0),0)</f>
        <v>0</v>
      </c>
      <c r="AK975" s="1345"/>
      <c r="AL975" s="1345"/>
      <c r="AM975" s="1345"/>
      <c r="AN975" s="1345"/>
      <c r="AO975" s="1345"/>
      <c r="AP975" s="1345"/>
      <c r="AQ975" s="1346"/>
    </row>
    <row r="976" spans="1:97" ht="12.95" customHeight="1">
      <c r="A976" s="561"/>
      <c r="B976" s="79"/>
      <c r="C976" s="563"/>
      <c r="D976" s="1535" t="s">
        <v>2098</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6"/>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5"/>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6"/>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67" t="s">
        <v>2099</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3" t="s">
        <v>510</v>
      </c>
      <c r="AH979" s="1534"/>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5" t="s">
        <v>2100</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6"/>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5"/>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6"/>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5"/>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6"/>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340" t="s">
        <v>1991</v>
      </c>
      <c r="E984" s="1137"/>
      <c r="F984" s="1137"/>
      <c r="G984" s="1137"/>
      <c r="H984" s="1137"/>
      <c r="I984" s="1137"/>
      <c r="J984" s="1137"/>
      <c r="K984" s="1137"/>
      <c r="L984" s="1137"/>
      <c r="M984" s="1137"/>
      <c r="N984" s="1137"/>
      <c r="O984" s="1137"/>
      <c r="P984" s="1137"/>
      <c r="Q984" s="1137"/>
      <c r="R984" s="1137"/>
      <c r="S984" s="1137"/>
      <c r="T984" s="1137"/>
      <c r="U984" s="1137"/>
      <c r="V984" s="1137"/>
      <c r="W984" s="1137"/>
      <c r="X984" s="1137"/>
      <c r="Y984" s="1137"/>
      <c r="Z984" s="1137"/>
      <c r="AA984" s="1137"/>
      <c r="AB984" s="1137"/>
      <c r="AC984" s="1137"/>
      <c r="AD984" s="1137"/>
      <c r="AE984" s="1341"/>
      <c r="AF984" s="82"/>
      <c r="AG984" s="1342" t="s">
        <v>510</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3" t="s">
        <v>2343</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2" t="s">
        <v>783</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29224049</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33422765.945645884</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3">
        <f>IFERROR(X992/AJ988,"")</f>
        <v>1.1436733474422345</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7"/>
      <c r="F994" s="1137"/>
      <c r="G994" s="1137"/>
      <c r="H994" s="1137"/>
      <c r="I994" s="1137"/>
      <c r="J994" s="1137"/>
      <c r="K994" s="1137"/>
      <c r="L994" s="1137"/>
      <c r="M994" s="1137"/>
      <c r="N994" s="1137"/>
      <c r="O994" s="1137"/>
      <c r="P994" s="1137"/>
      <c r="Q994" s="1137"/>
      <c r="R994" s="1137"/>
      <c r="S994" s="1137"/>
      <c r="T994" s="1137"/>
      <c r="U994" s="1137"/>
      <c r="V994" s="1137"/>
      <c r="W994" s="1137"/>
      <c r="X994" s="1137"/>
      <c r="Y994" s="1137"/>
      <c r="Z994" s="1137"/>
      <c r="AA994" s="1137"/>
      <c r="AB994" s="1137"/>
      <c r="AC994" s="1137"/>
      <c r="AD994" s="1137"/>
      <c r="AE994" s="1137"/>
      <c r="AF994" s="1137"/>
      <c r="AG994" s="1137"/>
      <c r="AH994" s="1137"/>
      <c r="AI994" s="1137"/>
      <c r="AJ994" s="1137"/>
      <c r="AK994" s="113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7"/>
      <c r="E995" s="1137"/>
      <c r="F995" s="1137"/>
      <c r="G995" s="1137"/>
      <c r="H995" s="1137"/>
      <c r="I995" s="1137"/>
      <c r="J995" s="1137"/>
      <c r="K995" s="1137"/>
      <c r="L995" s="1137"/>
      <c r="M995" s="1137"/>
      <c r="N995" s="1137"/>
      <c r="O995" s="1137"/>
      <c r="P995" s="1137"/>
      <c r="Q995" s="1137"/>
      <c r="R995" s="1137"/>
      <c r="S995" s="1137"/>
      <c r="T995" s="1137"/>
      <c r="U995" s="1137"/>
      <c r="V995" s="1137"/>
      <c r="W995" s="1137"/>
      <c r="X995" s="1137"/>
      <c r="Y995" s="1137"/>
      <c r="Z995" s="1137"/>
      <c r="AA995" s="1137"/>
      <c r="AB995" s="1137"/>
      <c r="AC995" s="1137"/>
      <c r="AD995" s="1137"/>
      <c r="AE995" s="1137"/>
      <c r="AF995" s="1137"/>
      <c r="AG995" s="1137"/>
      <c r="AH995" s="1137"/>
      <c r="AI995" s="1137"/>
      <c r="AJ995" s="1137"/>
      <c r="AK995" s="113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7"/>
      <c r="E996" s="1137"/>
      <c r="F996" s="1137"/>
      <c r="G996" s="1137"/>
      <c r="H996" s="1137"/>
      <c r="I996" s="1137"/>
      <c r="J996" s="1137"/>
      <c r="K996" s="1137"/>
      <c r="L996" s="1137"/>
      <c r="M996" s="1137"/>
      <c r="N996" s="1137"/>
      <c r="O996" s="1137"/>
      <c r="P996" s="1137"/>
      <c r="Q996" s="1137"/>
      <c r="R996" s="1137"/>
      <c r="S996" s="1137"/>
      <c r="T996" s="1137"/>
      <c r="U996" s="1137"/>
      <c r="V996" s="1137"/>
      <c r="W996" s="1137"/>
      <c r="X996" s="1137"/>
      <c r="Y996" s="1137"/>
      <c r="Z996" s="1137"/>
      <c r="AA996" s="1137"/>
      <c r="AB996" s="1137"/>
      <c r="AC996" s="1137"/>
      <c r="AD996" s="1137"/>
      <c r="AE996" s="1137"/>
      <c r="AF996" s="1137"/>
      <c r="AG996" s="1137"/>
      <c r="AH996" s="1137"/>
      <c r="AI996" s="1137"/>
      <c r="AJ996" s="1137"/>
      <c r="AK996" s="113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8" t="s">
        <v>1031</v>
      </c>
      <c r="B1000" s="1138"/>
      <c r="C1000" s="1138"/>
      <c r="D1000" s="1138"/>
      <c r="E1000" s="1138"/>
      <c r="F1000" s="1138"/>
      <c r="G1000" s="1138"/>
      <c r="H1000" s="1138"/>
      <c r="I1000" s="1138"/>
      <c r="J1000" s="1138"/>
      <c r="K1000" s="1138"/>
      <c r="L1000" s="1138"/>
      <c r="M1000" s="1138"/>
      <c r="N1000" s="1138"/>
      <c r="O1000" s="1138"/>
      <c r="P1000" s="1138"/>
      <c r="Q1000" s="1138"/>
      <c r="R1000" s="1138"/>
      <c r="S1000" s="1138"/>
      <c r="T1000" s="1138"/>
      <c r="U1000" s="1138"/>
      <c r="V1000" s="1138"/>
      <c r="W1000" s="1138"/>
      <c r="X1000" s="1138"/>
      <c r="Y1000" s="1138"/>
      <c r="Z1000" s="1138"/>
      <c r="AA1000" s="1138"/>
      <c r="AB1000" s="1138"/>
      <c r="AC1000" s="1138"/>
      <c r="AD1000" s="1138"/>
      <c r="AE1000" s="1138"/>
      <c r="AF1000" s="1138"/>
      <c r="AG1000" s="1138"/>
      <c r="AH1000" s="1138"/>
      <c r="AI1000" s="1138"/>
      <c r="AJ1000" s="1138"/>
      <c r="AK1000" s="11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09" t="s">
        <v>132</v>
      </c>
      <c r="B1004" s="1109"/>
      <c r="C1004" s="12">
        <v>1</v>
      </c>
      <c r="D1004" s="975" t="s">
        <v>1585</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09" t="s">
        <v>132</v>
      </c>
      <c r="B1010" s="1109"/>
      <c r="C1010" s="12">
        <v>2</v>
      </c>
      <c r="D1010" s="969" t="s">
        <v>1586</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09" t="s">
        <v>132</v>
      </c>
      <c r="B1016" s="1109"/>
      <c r="C1016" s="12">
        <v>3</v>
      </c>
      <c r="D1016" s="969" t="s">
        <v>2336</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09" t="s">
        <v>132</v>
      </c>
      <c r="B1023" s="1109"/>
      <c r="C1023" s="12">
        <v>4</v>
      </c>
      <c r="D1023" s="969" t="s">
        <v>2142</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09" t="s">
        <v>132</v>
      </c>
      <c r="B1026" s="1109"/>
      <c r="C1026" s="12">
        <v>5</v>
      </c>
      <c r="D1026" s="969" t="s">
        <v>1792</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09" t="s">
        <v>132</v>
      </c>
      <c r="B1031" s="1109"/>
      <c r="C1031" s="12">
        <v>6</v>
      </c>
      <c r="D1031" s="975" t="s">
        <v>1587</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09" t="s">
        <v>132</v>
      </c>
      <c r="B1034" s="1109"/>
      <c r="C1034" s="352">
        <v>7</v>
      </c>
      <c r="D1034" s="975" t="s">
        <v>1589</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09" t="s">
        <v>132</v>
      </c>
      <c r="B1038" s="1109"/>
      <c r="C1038" s="352">
        <v>8</v>
      </c>
      <c r="D1038" s="969" t="s">
        <v>2112</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6" t="s">
        <v>132</v>
      </c>
      <c r="B1042" s="1136"/>
      <c r="C1042" s="352">
        <v>9</v>
      </c>
      <c r="D1042" s="969" t="s">
        <v>1588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F34" sqref="F3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834</v>
      </c>
      <c r="C2" s="232" t="s">
        <v>537</v>
      </c>
      <c r="D2" s="232" t="s">
        <v>536</v>
      </c>
      <c r="E2" s="232" t="s">
        <v>835</v>
      </c>
      <c r="F2" s="233" t="str">
        <f>Application!B618&amp;Application!C618</f>
        <v xml:space="preserve">1)Permanent Loan </v>
      </c>
      <c r="G2" s="233" t="str">
        <f>Application!B619&amp;Application!C619</f>
        <v>2)HCD LGMG</v>
      </c>
      <c r="H2" s="233" t="str">
        <f>Application!B620&amp;Application!C620</f>
        <v xml:space="preserve">3)County Loan </v>
      </c>
      <c r="I2" s="233" t="str">
        <f>Application!B621&amp;Application!C621</f>
        <v xml:space="preserve">4)City HOME </v>
      </c>
      <c r="J2" s="233" t="str">
        <f>Application!B622&amp;Application!C622</f>
        <v>5)TUMF Fee Waiver</v>
      </c>
      <c r="K2" s="233" t="str">
        <f>Application!B623&amp;Application!C623</f>
        <v>6)Land Donation</v>
      </c>
      <c r="L2" s="233" t="str">
        <f>Application!B624&amp;Application!C624</f>
        <v xml:space="preserve">7)Sponsor Loan - CEC Build Grant </v>
      </c>
      <c r="M2" s="233" t="str">
        <f>Application!B625&amp;Application!C625</f>
        <v xml:space="preserve">8)Deferred Developer Fee </v>
      </c>
      <c r="N2" s="233" t="str">
        <f>Application!B626&amp;Application!C626</f>
        <v xml:space="preserve">9)GP Equity </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1424079</v>
      </c>
      <c r="C4" s="241">
        <f>+[1]EVERYTHING!$C$28</f>
        <v>1424079</v>
      </c>
      <c r="D4" s="241"/>
      <c r="E4" s="241">
        <f>+C4-SUM(F4:Q4)</f>
        <v>0</v>
      </c>
      <c r="F4" s="241"/>
      <c r="G4" s="241"/>
      <c r="H4" s="241"/>
      <c r="I4" s="241"/>
      <c r="J4" s="241"/>
      <c r="K4" s="241">
        <f>+[1]EVERYTHING!$C$11</f>
        <v>1424079</v>
      </c>
      <c r="L4" s="241"/>
      <c r="M4" s="241"/>
      <c r="N4" s="241"/>
      <c r="O4" s="241"/>
      <c r="P4" s="241"/>
      <c r="Q4" s="241"/>
      <c r="R4" s="241">
        <f>C4</f>
        <v>1424079</v>
      </c>
      <c r="S4" s="242"/>
      <c r="T4" s="242"/>
      <c r="U4" s="237"/>
    </row>
    <row r="5" spans="1:21" s="238" customFormat="1" ht="13.5">
      <c r="A5" s="300" t="s">
        <v>73</v>
      </c>
      <c r="B5" s="240">
        <f>SUM(C5+D5)</f>
        <v>285000</v>
      </c>
      <c r="C5" s="241">
        <f>+[1]EVERYTHING!$C$34</f>
        <v>285000</v>
      </c>
      <c r="D5" s="241"/>
      <c r="E5" s="241">
        <f t="shared" ref="E5:E7" si="0">+C5-SUM(F5:Q5)</f>
        <v>285000</v>
      </c>
      <c r="F5" s="241"/>
      <c r="G5" s="241"/>
      <c r="H5" s="241"/>
      <c r="I5" s="241"/>
      <c r="J5" s="241"/>
      <c r="K5" s="241"/>
      <c r="L5" s="241"/>
      <c r="M5" s="241"/>
      <c r="N5" s="241"/>
      <c r="O5" s="241"/>
      <c r="P5" s="241"/>
      <c r="Q5" s="241"/>
      <c r="R5" s="241">
        <f>SUM(E5:Q5)</f>
        <v>285000</v>
      </c>
      <c r="S5" s="242"/>
      <c r="T5" s="242"/>
      <c r="U5" s="237"/>
    </row>
    <row r="6" spans="1:21" s="238" customFormat="1">
      <c r="A6" s="239" t="s">
        <v>364</v>
      </c>
      <c r="B6" s="240">
        <f>SUM(C6+D6)</f>
        <v>30000</v>
      </c>
      <c r="C6" s="241">
        <f>+[1]EVERYTHING!$C$31</f>
        <v>30000</v>
      </c>
      <c r="D6" s="241"/>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1739079</v>
      </c>
      <c r="C8" s="240">
        <f t="shared" ref="C8:R8" si="1">SUM(C4:C7)</f>
        <v>1739079</v>
      </c>
      <c r="D8" s="240">
        <f t="shared" si="1"/>
        <v>0</v>
      </c>
      <c r="E8" s="240">
        <f t="shared" si="1"/>
        <v>315000</v>
      </c>
      <c r="F8" s="240">
        <f t="shared" si="1"/>
        <v>0</v>
      </c>
      <c r="G8" s="240">
        <f t="shared" si="1"/>
        <v>0</v>
      </c>
      <c r="H8" s="240">
        <f t="shared" si="1"/>
        <v>0</v>
      </c>
      <c r="I8" s="240">
        <f t="shared" si="1"/>
        <v>0</v>
      </c>
      <c r="J8" s="240">
        <f t="shared" si="1"/>
        <v>0</v>
      </c>
      <c r="K8" s="240">
        <f t="shared" si="1"/>
        <v>1424079</v>
      </c>
      <c r="L8" s="240">
        <f t="shared" si="1"/>
        <v>0</v>
      </c>
      <c r="M8" s="240">
        <f t="shared" si="1"/>
        <v>0</v>
      </c>
      <c r="N8" s="240">
        <f t="shared" si="1"/>
        <v>0</v>
      </c>
      <c r="O8" s="240">
        <f t="shared" si="1"/>
        <v>0</v>
      </c>
      <c r="P8" s="240">
        <f t="shared" si="1"/>
        <v>0</v>
      </c>
      <c r="Q8" s="240">
        <f t="shared" si="1"/>
        <v>0</v>
      </c>
      <c r="R8" s="240">
        <f t="shared" si="1"/>
        <v>1739079</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745</v>
      </c>
      <c r="B12" s="240">
        <f t="shared" ref="B12:R12" si="3">SUM(B8+B11)</f>
        <v>1739079</v>
      </c>
      <c r="C12" s="240">
        <f t="shared" si="3"/>
        <v>1739079</v>
      </c>
      <c r="D12" s="240">
        <f t="shared" si="3"/>
        <v>0</v>
      </c>
      <c r="E12" s="240">
        <f t="shared" si="3"/>
        <v>315000</v>
      </c>
      <c r="F12" s="240">
        <f t="shared" si="3"/>
        <v>0</v>
      </c>
      <c r="G12" s="240">
        <f t="shared" si="3"/>
        <v>0</v>
      </c>
      <c r="H12" s="240">
        <f t="shared" si="3"/>
        <v>0</v>
      </c>
      <c r="I12" s="240">
        <f t="shared" si="3"/>
        <v>0</v>
      </c>
      <c r="J12" s="240">
        <f t="shared" si="3"/>
        <v>0</v>
      </c>
      <c r="K12" s="240">
        <f t="shared" si="3"/>
        <v>1424079</v>
      </c>
      <c r="L12" s="240">
        <f t="shared" si="3"/>
        <v>0</v>
      </c>
      <c r="M12" s="240">
        <f t="shared" si="3"/>
        <v>0</v>
      </c>
      <c r="N12" s="240">
        <f t="shared" si="3"/>
        <v>0</v>
      </c>
      <c r="O12" s="240">
        <f t="shared" si="3"/>
        <v>0</v>
      </c>
      <c r="P12" s="240">
        <f t="shared" si="3"/>
        <v>0</v>
      </c>
      <c r="Q12" s="240">
        <f t="shared" si="3"/>
        <v>0</v>
      </c>
      <c r="R12" s="240">
        <f t="shared" si="3"/>
        <v>1739079</v>
      </c>
      <c r="S12" s="242"/>
      <c r="T12" s="242"/>
      <c r="U12" s="237"/>
    </row>
    <row r="13" spans="1:21" s="238" customFormat="1">
      <c r="A13" s="461" t="s">
        <v>1155</v>
      </c>
      <c r="B13" s="240">
        <f>SUM(C13+D13)</f>
        <v>60796</v>
      </c>
      <c r="C13" s="241">
        <f>+[1]EVERYTHING!$C$54</f>
        <v>60796</v>
      </c>
      <c r="D13" s="241"/>
      <c r="E13" s="241">
        <f>+C13-SUM(F13:Q13)</f>
        <v>60796</v>
      </c>
      <c r="F13" s="241"/>
      <c r="G13" s="241"/>
      <c r="H13" s="241"/>
      <c r="I13" s="241"/>
      <c r="J13" s="241"/>
      <c r="K13" s="241"/>
      <c r="L13" s="241"/>
      <c r="M13" s="241"/>
      <c r="N13" s="241"/>
      <c r="O13" s="241"/>
      <c r="P13" s="241"/>
      <c r="Q13" s="241"/>
      <c r="R13" s="241">
        <f>SUM(E13:Q13)</f>
        <v>60796</v>
      </c>
      <c r="S13" s="241">
        <f>+R13</f>
        <v>60796</v>
      </c>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956</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957</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958</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2046</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959</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7">SUM(C29+D29)</f>
        <v>892748</v>
      </c>
      <c r="C29" s="241">
        <f>+[1]EVERYTHING!$C$38</f>
        <v>892748</v>
      </c>
      <c r="D29" s="241"/>
      <c r="E29" s="241">
        <f>+C29-SUM(F29:Q29)</f>
        <v>892748</v>
      </c>
      <c r="F29" s="241"/>
      <c r="G29" s="241"/>
      <c r="H29" s="241"/>
      <c r="I29" s="241"/>
      <c r="J29" s="241"/>
      <c r="K29" s="241"/>
      <c r="L29" s="241"/>
      <c r="M29" s="241"/>
      <c r="N29" s="241"/>
      <c r="O29" s="241"/>
      <c r="P29" s="241"/>
      <c r="Q29" s="241"/>
      <c r="R29" s="241">
        <f t="shared" ref="R29:R37" si="8">SUM(E29:Q29)</f>
        <v>892748</v>
      </c>
      <c r="S29" s="241">
        <f>+[1]EVERYTHING!$F$38</f>
        <v>710748</v>
      </c>
      <c r="T29" s="241"/>
      <c r="U29" s="237"/>
    </row>
    <row r="30" spans="1:21" s="238" customFormat="1">
      <c r="A30" s="239" t="s">
        <v>953</v>
      </c>
      <c r="B30" s="240">
        <f t="shared" si="7"/>
        <v>19512384</v>
      </c>
      <c r="C30" s="241">
        <f>18772586+739798</f>
        <v>19512384</v>
      </c>
      <c r="D30" s="241"/>
      <c r="E30" s="241">
        <f t="shared" ref="E30:E37" si="9">+C30-SUM(F30:Q30)</f>
        <v>8463837.2411895003</v>
      </c>
      <c r="F30" s="241">
        <f>+[1]EVERYTHING!$C$5</f>
        <v>531666.75881049945</v>
      </c>
      <c r="G30" s="241">
        <f>+[1]EVERYTHING!$C$9</f>
        <v>6000000</v>
      </c>
      <c r="H30" s="241">
        <f>+[1]EVERYTHING!$C$8</f>
        <v>1300000</v>
      </c>
      <c r="I30" s="241">
        <f>+[1]EVERYTHING!$C$7</f>
        <v>3000000</v>
      </c>
      <c r="J30" s="241"/>
      <c r="K30" s="241"/>
      <c r="L30" s="241">
        <f>+[1]EVERYTHING!$C$13</f>
        <v>216780</v>
      </c>
      <c r="M30" s="241"/>
      <c r="N30" s="241">
        <f>+[1]EVERYTHING!$C$15</f>
        <v>100</v>
      </c>
      <c r="O30" s="241"/>
      <c r="P30" s="241"/>
      <c r="Q30" s="241"/>
      <c r="R30" s="241">
        <f t="shared" si="8"/>
        <v>19512384</v>
      </c>
      <c r="S30" s="241">
        <f>+R30</f>
        <v>19512384</v>
      </c>
      <c r="T30" s="241"/>
      <c r="U30" s="237"/>
    </row>
    <row r="31" spans="1:21" s="238" customFormat="1">
      <c r="A31" s="239" t="s">
        <v>954</v>
      </c>
      <c r="B31" s="240">
        <f t="shared" si="7"/>
        <v>1245764</v>
      </c>
      <c r="C31" s="241">
        <f>+[1]EVERYTHING!$C$43</f>
        <v>1245764</v>
      </c>
      <c r="D31" s="241"/>
      <c r="E31" s="241">
        <f t="shared" si="9"/>
        <v>1245764</v>
      </c>
      <c r="F31" s="241"/>
      <c r="G31" s="241"/>
      <c r="H31" s="241"/>
      <c r="I31" s="241"/>
      <c r="J31" s="241"/>
      <c r="K31" s="241"/>
      <c r="L31" s="241"/>
      <c r="M31" s="241"/>
      <c r="N31" s="241"/>
      <c r="O31" s="241"/>
      <c r="P31" s="241"/>
      <c r="Q31" s="241"/>
      <c r="R31" s="241">
        <f t="shared" si="8"/>
        <v>1245764</v>
      </c>
      <c r="S31" s="241">
        <f>+R31</f>
        <v>1245764</v>
      </c>
      <c r="T31" s="241"/>
      <c r="U31" s="237"/>
    </row>
    <row r="32" spans="1:21" s="238" customFormat="1">
      <c r="A32" s="239" t="s">
        <v>955</v>
      </c>
      <c r="B32" s="240">
        <f t="shared" si="7"/>
        <v>691652</v>
      </c>
      <c r="C32" s="241">
        <f>+[1]EVERYTHING!$C$45/2</f>
        <v>691652</v>
      </c>
      <c r="D32" s="241"/>
      <c r="E32" s="241">
        <f t="shared" si="9"/>
        <v>691652</v>
      </c>
      <c r="F32" s="241"/>
      <c r="G32" s="241"/>
      <c r="H32" s="241"/>
      <c r="I32" s="241"/>
      <c r="J32" s="241"/>
      <c r="K32" s="241"/>
      <c r="L32" s="241"/>
      <c r="M32" s="241"/>
      <c r="N32" s="241"/>
      <c r="O32" s="241"/>
      <c r="P32" s="241"/>
      <c r="Q32" s="241"/>
      <c r="R32" s="241">
        <f t="shared" si="8"/>
        <v>691652</v>
      </c>
      <c r="S32" s="241">
        <f t="shared" ref="S32:S37" si="10">+R32</f>
        <v>691652</v>
      </c>
      <c r="T32" s="241"/>
      <c r="U32" s="237"/>
    </row>
    <row r="33" spans="1:21" s="238" customFormat="1">
      <c r="A33" s="239" t="s">
        <v>956</v>
      </c>
      <c r="B33" s="240">
        <f t="shared" si="7"/>
        <v>691652</v>
      </c>
      <c r="C33" s="241">
        <f>+C32</f>
        <v>691652</v>
      </c>
      <c r="D33" s="241"/>
      <c r="E33" s="241">
        <f t="shared" si="9"/>
        <v>691652</v>
      </c>
      <c r="F33" s="241"/>
      <c r="G33" s="241"/>
      <c r="H33" s="241"/>
      <c r="I33" s="241"/>
      <c r="J33" s="241"/>
      <c r="K33" s="241"/>
      <c r="L33" s="241"/>
      <c r="M33" s="241"/>
      <c r="N33" s="241"/>
      <c r="O33" s="241"/>
      <c r="P33" s="241"/>
      <c r="Q33" s="241"/>
      <c r="R33" s="241">
        <f t="shared" si="8"/>
        <v>691652</v>
      </c>
      <c r="S33" s="241">
        <f t="shared" si="10"/>
        <v>691652</v>
      </c>
      <c r="T33" s="241"/>
      <c r="U33" s="237"/>
    </row>
    <row r="34" spans="1:21" s="238" customFormat="1">
      <c r="A34" s="239" t="s">
        <v>957</v>
      </c>
      <c r="B34" s="240">
        <f t="shared" si="7"/>
        <v>0</v>
      </c>
      <c r="C34" s="241"/>
      <c r="D34" s="241"/>
      <c r="E34" s="241">
        <f t="shared" si="9"/>
        <v>0</v>
      </c>
      <c r="F34" s="241"/>
      <c r="G34" s="241"/>
      <c r="H34" s="241"/>
      <c r="I34" s="241"/>
      <c r="J34" s="241"/>
      <c r="K34" s="241"/>
      <c r="L34" s="241"/>
      <c r="M34" s="241"/>
      <c r="N34" s="241"/>
      <c r="O34" s="241"/>
      <c r="P34" s="241"/>
      <c r="Q34" s="241"/>
      <c r="R34" s="241">
        <f t="shared" si="8"/>
        <v>0</v>
      </c>
      <c r="S34" s="241">
        <f t="shared" si="10"/>
        <v>0</v>
      </c>
      <c r="T34" s="241"/>
      <c r="U34" s="237"/>
    </row>
    <row r="35" spans="1:21" s="238" customFormat="1">
      <c r="A35" s="239" t="s">
        <v>958</v>
      </c>
      <c r="B35" s="240">
        <f t="shared" si="7"/>
        <v>502800</v>
      </c>
      <c r="C35" s="241">
        <f>+[1]EVERYTHING!$C$44</f>
        <v>502800</v>
      </c>
      <c r="D35" s="241"/>
      <c r="E35" s="241">
        <f t="shared" si="9"/>
        <v>502800</v>
      </c>
      <c r="F35" s="241"/>
      <c r="G35" s="241"/>
      <c r="H35" s="241"/>
      <c r="I35" s="241"/>
      <c r="J35" s="241"/>
      <c r="K35" s="241"/>
      <c r="L35" s="241"/>
      <c r="M35" s="241"/>
      <c r="N35" s="241"/>
      <c r="O35" s="241"/>
      <c r="P35" s="241"/>
      <c r="Q35" s="241"/>
      <c r="R35" s="241">
        <f t="shared" si="8"/>
        <v>502800</v>
      </c>
      <c r="S35" s="241">
        <f t="shared" si="10"/>
        <v>502800</v>
      </c>
      <c r="T35" s="241"/>
      <c r="U35" s="237"/>
    </row>
    <row r="36" spans="1:21" s="238" customFormat="1">
      <c r="A36" s="250" t="s">
        <v>2046</v>
      </c>
      <c r="B36" s="240">
        <f t="shared" si="7"/>
        <v>82080</v>
      </c>
      <c r="C36" s="241">
        <f>+[1]EVERYTHING!$C$83</f>
        <v>82080</v>
      </c>
      <c r="D36" s="241"/>
      <c r="E36" s="241">
        <f t="shared" si="9"/>
        <v>82080</v>
      </c>
      <c r="F36" s="241"/>
      <c r="G36" s="241"/>
      <c r="H36" s="241"/>
      <c r="I36" s="241"/>
      <c r="J36" s="241"/>
      <c r="K36" s="241"/>
      <c r="L36" s="241"/>
      <c r="M36" s="241"/>
      <c r="N36" s="241"/>
      <c r="O36" s="241"/>
      <c r="P36" s="241"/>
      <c r="Q36" s="241"/>
      <c r="R36" s="241">
        <f t="shared" si="8"/>
        <v>82080</v>
      </c>
      <c r="S36" s="241">
        <f t="shared" si="10"/>
        <v>82080</v>
      </c>
      <c r="T36" s="241"/>
      <c r="U36" s="237"/>
    </row>
    <row r="37" spans="1:21" s="238" customFormat="1">
      <c r="A37" s="246" t="s">
        <v>2417</v>
      </c>
      <c r="B37" s="240">
        <f t="shared" si="7"/>
        <v>170818</v>
      </c>
      <c r="C37" s="241">
        <f>+[1]EVERYTHING!$C$40</f>
        <v>170818</v>
      </c>
      <c r="D37" s="241"/>
      <c r="E37" s="241">
        <f t="shared" si="9"/>
        <v>170818</v>
      </c>
      <c r="F37" s="241"/>
      <c r="G37" s="241"/>
      <c r="H37" s="241"/>
      <c r="I37" s="241"/>
      <c r="J37" s="241"/>
      <c r="K37" s="241"/>
      <c r="L37" s="241"/>
      <c r="M37" s="241"/>
      <c r="N37" s="241"/>
      <c r="O37" s="241"/>
      <c r="P37" s="241"/>
      <c r="Q37" s="241"/>
      <c r="R37" s="241">
        <f t="shared" si="8"/>
        <v>170818</v>
      </c>
      <c r="S37" s="241">
        <f t="shared" si="10"/>
        <v>170818</v>
      </c>
      <c r="T37" s="241"/>
      <c r="U37" s="237"/>
    </row>
    <row r="38" spans="1:21" s="238" customFormat="1">
      <c r="A38" s="243" t="s">
        <v>961</v>
      </c>
      <c r="B38" s="240">
        <f t="shared" si="7"/>
        <v>23789898</v>
      </c>
      <c r="C38" s="240">
        <f>SUM(C29:C37)</f>
        <v>23789898</v>
      </c>
      <c r="D38" s="240">
        <f>SUM(D29:D37)</f>
        <v>0</v>
      </c>
      <c r="E38" s="240">
        <f>SUM(E29:E37)</f>
        <v>12741351.2411895</v>
      </c>
      <c r="F38" s="240">
        <f t="shared" ref="F38:T38" si="11">SUM(F29:F37)</f>
        <v>531666.75881049945</v>
      </c>
      <c r="G38" s="240">
        <f t="shared" si="11"/>
        <v>6000000</v>
      </c>
      <c r="H38" s="240">
        <f t="shared" si="11"/>
        <v>1300000</v>
      </c>
      <c r="I38" s="240">
        <f t="shared" si="11"/>
        <v>3000000</v>
      </c>
      <c r="J38" s="240">
        <f t="shared" si="11"/>
        <v>0</v>
      </c>
      <c r="K38" s="240">
        <f t="shared" si="11"/>
        <v>0</v>
      </c>
      <c r="L38" s="240">
        <f t="shared" si="11"/>
        <v>216780</v>
      </c>
      <c r="M38" s="240">
        <f t="shared" si="11"/>
        <v>0</v>
      </c>
      <c r="N38" s="240">
        <f t="shared" si="11"/>
        <v>100</v>
      </c>
      <c r="O38" s="240">
        <f t="shared" si="11"/>
        <v>0</v>
      </c>
      <c r="P38" s="240">
        <f t="shared" si="11"/>
        <v>0</v>
      </c>
      <c r="Q38" s="240">
        <f t="shared" si="11"/>
        <v>0</v>
      </c>
      <c r="R38" s="240">
        <f t="shared" si="11"/>
        <v>23789898</v>
      </c>
      <c r="S38" s="244">
        <f t="shared" si="11"/>
        <v>23607898</v>
      </c>
      <c r="T38" s="244">
        <f t="shared" si="11"/>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401120</v>
      </c>
      <c r="C40" s="241">
        <f>+[1]EVERYTHING!$C$48</f>
        <v>401120</v>
      </c>
      <c r="D40" s="241"/>
      <c r="E40" s="241">
        <f>+C40-SUM(F40:Q40)</f>
        <v>401120</v>
      </c>
      <c r="F40" s="241"/>
      <c r="G40" s="241"/>
      <c r="H40" s="241"/>
      <c r="I40" s="241"/>
      <c r="J40" s="241"/>
      <c r="K40" s="241"/>
      <c r="L40" s="241"/>
      <c r="M40" s="241"/>
      <c r="N40" s="241"/>
      <c r="O40" s="241"/>
      <c r="P40" s="241"/>
      <c r="Q40" s="241"/>
      <c r="R40" s="241">
        <f>SUM(E40:Q40)</f>
        <v>401120</v>
      </c>
      <c r="S40" s="241">
        <f>+R40</f>
        <v>401120</v>
      </c>
      <c r="T40" s="241"/>
      <c r="U40" s="237"/>
    </row>
    <row r="41" spans="1:21" s="238" customFormat="1">
      <c r="A41" s="239" t="s">
        <v>964</v>
      </c>
      <c r="B41" s="240">
        <f>SUM(C41+D41)</f>
        <v>221870</v>
      </c>
      <c r="C41" s="241">
        <f>+[1]EVERYTHING!$C$49</f>
        <v>221870</v>
      </c>
      <c r="D41" s="241"/>
      <c r="E41" s="241">
        <f>+C41-SUM(F41:Q41)</f>
        <v>221870</v>
      </c>
      <c r="F41" s="241"/>
      <c r="G41" s="241"/>
      <c r="H41" s="241"/>
      <c r="I41" s="241"/>
      <c r="J41" s="241"/>
      <c r="K41" s="241"/>
      <c r="L41" s="241"/>
      <c r="M41" s="241"/>
      <c r="N41" s="241"/>
      <c r="O41" s="241"/>
      <c r="P41" s="241"/>
      <c r="Q41" s="241"/>
      <c r="R41" s="241">
        <f>SUM(E41:Q41)</f>
        <v>221870</v>
      </c>
      <c r="S41" s="241">
        <f>+R41</f>
        <v>221870</v>
      </c>
      <c r="T41" s="241"/>
      <c r="U41" s="237"/>
    </row>
    <row r="42" spans="1:21" s="238" customFormat="1">
      <c r="A42" s="243" t="s">
        <v>965</v>
      </c>
      <c r="B42" s="240">
        <f>SUM(C42:D42)</f>
        <v>622990</v>
      </c>
      <c r="C42" s="240">
        <f>SUM(C39:C41)</f>
        <v>622990</v>
      </c>
      <c r="D42" s="240">
        <f>SUM(D39:D41)</f>
        <v>0</v>
      </c>
      <c r="E42" s="240">
        <f t="shared" ref="E42:T42" si="12">SUM(E40:E41)</f>
        <v>622990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622990</v>
      </c>
      <c r="S42" s="244">
        <f t="shared" si="12"/>
        <v>622990</v>
      </c>
      <c r="T42" s="244">
        <f t="shared" si="12"/>
        <v>0</v>
      </c>
      <c r="U42" s="237"/>
    </row>
    <row r="43" spans="1:21" s="238" customFormat="1">
      <c r="A43" s="243" t="s">
        <v>966</v>
      </c>
      <c r="B43" s="240">
        <f>SUM(C43:D43)</f>
        <v>470302</v>
      </c>
      <c r="C43" s="241">
        <f>+[1]EVERYTHING!$C$51</f>
        <v>470302</v>
      </c>
      <c r="D43" s="241"/>
      <c r="E43" s="241">
        <f>+C43-SUM(F43:Q43)</f>
        <v>470302</v>
      </c>
      <c r="F43" s="241">
        <v>0</v>
      </c>
      <c r="G43" s="241"/>
      <c r="H43" s="241"/>
      <c r="I43" s="241"/>
      <c r="J43" s="241"/>
      <c r="K43" s="241"/>
      <c r="L43" s="241"/>
      <c r="M43" s="241"/>
      <c r="N43" s="241"/>
      <c r="O43" s="241"/>
      <c r="P43" s="241"/>
      <c r="Q43" s="241"/>
      <c r="R43" s="241">
        <f>SUM(E43:Q43)</f>
        <v>470302</v>
      </c>
      <c r="S43" s="241">
        <f>+R43</f>
        <v>470302</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3">SUM(C45+D45)</f>
        <v>2320063.8340486838</v>
      </c>
      <c r="C45" s="241">
        <f>+[1]EVERYTHING!$C$53</f>
        <v>2320063.8340486838</v>
      </c>
      <c r="D45" s="241"/>
      <c r="E45" s="241">
        <f>+C45-SUM(F45:Q45)</f>
        <v>2320063.8340486838</v>
      </c>
      <c r="F45" s="241"/>
      <c r="G45" s="241"/>
      <c r="H45" s="241"/>
      <c r="I45" s="241"/>
      <c r="J45" s="241"/>
      <c r="K45" s="241"/>
      <c r="L45" s="241"/>
      <c r="M45" s="241"/>
      <c r="N45" s="241"/>
      <c r="O45" s="241"/>
      <c r="P45" s="241"/>
      <c r="Q45" s="241"/>
      <c r="R45" s="241">
        <f t="shared" ref="R45:R52" si="14">SUM(E45:Q45)</f>
        <v>2320063.8340486838</v>
      </c>
      <c r="S45" s="241">
        <f>+[1]EVERYTHING!$F$53</f>
        <v>1359090.6483480458</v>
      </c>
      <c r="T45" s="241"/>
      <c r="U45" s="237"/>
    </row>
    <row r="46" spans="1:21" s="238" customFormat="1">
      <c r="A46" s="239" t="s">
        <v>969</v>
      </c>
      <c r="B46" s="240">
        <f t="shared" si="13"/>
        <v>257565.49729783702</v>
      </c>
      <c r="C46" s="241">
        <f>+[1]EVERYTHING!$C$55</f>
        <v>257565.49729783702</v>
      </c>
      <c r="D46" s="241"/>
      <c r="E46" s="241">
        <f t="shared" ref="E46:E52" si="15">+C46-SUM(F46:Q46)</f>
        <v>257565.49729783702</v>
      </c>
      <c r="F46" s="241"/>
      <c r="G46" s="241"/>
      <c r="H46" s="241"/>
      <c r="I46" s="241"/>
      <c r="J46" s="241"/>
      <c r="K46" s="241"/>
      <c r="L46" s="241"/>
      <c r="M46" s="241"/>
      <c r="N46" s="241"/>
      <c r="O46" s="241"/>
      <c r="P46" s="241"/>
      <c r="Q46" s="241"/>
      <c r="R46" s="241">
        <f t="shared" si="14"/>
        <v>257565.49729783702</v>
      </c>
      <c r="S46" s="241">
        <f>+R46</f>
        <v>257565.49729783702</v>
      </c>
      <c r="T46" s="241"/>
      <c r="U46" s="237"/>
    </row>
    <row r="47" spans="1:21" s="238" customFormat="1" ht="12" customHeight="1">
      <c r="A47" s="239" t="s">
        <v>970</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f t="shared" ref="S47:S52" si="16">+R47</f>
        <v>0</v>
      </c>
      <c r="T47" s="241"/>
      <c r="U47" s="237"/>
    </row>
    <row r="48" spans="1:21" s="238" customFormat="1">
      <c r="A48" s="239" t="s">
        <v>971</v>
      </c>
      <c r="B48" s="240">
        <f t="shared" si="13"/>
        <v>0</v>
      </c>
      <c r="C48" s="241"/>
      <c r="D48" s="241"/>
      <c r="E48" s="241">
        <f t="shared" si="15"/>
        <v>0</v>
      </c>
      <c r="F48" s="241"/>
      <c r="G48" s="241"/>
      <c r="H48" s="241"/>
      <c r="I48" s="241"/>
      <c r="J48" s="241"/>
      <c r="K48" s="241"/>
      <c r="L48" s="241"/>
      <c r="M48" s="241"/>
      <c r="N48" s="241"/>
      <c r="O48" s="241"/>
      <c r="P48" s="241"/>
      <c r="Q48" s="241"/>
      <c r="R48" s="241">
        <f t="shared" si="14"/>
        <v>0</v>
      </c>
      <c r="S48" s="241">
        <f t="shared" si="16"/>
        <v>0</v>
      </c>
      <c r="T48" s="241"/>
      <c r="U48" s="237"/>
    </row>
    <row r="49" spans="1:21" s="238" customFormat="1">
      <c r="A49" s="239" t="s">
        <v>974</v>
      </c>
      <c r="B49" s="240">
        <f t="shared" si="13"/>
        <v>65000</v>
      </c>
      <c r="C49" s="241">
        <f>+[1]EVERYTHING!$C$59</f>
        <v>65000</v>
      </c>
      <c r="D49" s="241"/>
      <c r="E49" s="241">
        <f t="shared" si="15"/>
        <v>65000</v>
      </c>
      <c r="F49" s="241"/>
      <c r="G49" s="241"/>
      <c r="H49" s="241"/>
      <c r="I49" s="241"/>
      <c r="J49" s="241"/>
      <c r="K49" s="241"/>
      <c r="L49" s="241"/>
      <c r="M49" s="241"/>
      <c r="N49" s="241"/>
      <c r="O49" s="241"/>
      <c r="P49" s="241"/>
      <c r="Q49" s="241"/>
      <c r="R49" s="241">
        <f t="shared" si="14"/>
        <v>65000</v>
      </c>
      <c r="S49" s="241">
        <f t="shared" si="16"/>
        <v>65000</v>
      </c>
      <c r="T49" s="241"/>
      <c r="U49" s="237"/>
    </row>
    <row r="50" spans="1:21" s="238" customFormat="1">
      <c r="A50" s="239" t="s">
        <v>972</v>
      </c>
      <c r="B50" s="240">
        <f t="shared" si="13"/>
        <v>0</v>
      </c>
      <c r="C50" s="241"/>
      <c r="D50" s="241"/>
      <c r="E50" s="241">
        <f t="shared" si="15"/>
        <v>0</v>
      </c>
      <c r="F50" s="241"/>
      <c r="G50" s="241"/>
      <c r="H50" s="241"/>
      <c r="I50" s="241"/>
      <c r="J50" s="241"/>
      <c r="K50" s="241"/>
      <c r="L50" s="241"/>
      <c r="M50" s="241"/>
      <c r="N50" s="241"/>
      <c r="O50" s="241"/>
      <c r="P50" s="241"/>
      <c r="Q50" s="241"/>
      <c r="R50" s="241">
        <f t="shared" si="14"/>
        <v>0</v>
      </c>
      <c r="S50" s="241">
        <f t="shared" si="16"/>
        <v>0</v>
      </c>
      <c r="T50" s="241"/>
      <c r="U50" s="237"/>
    </row>
    <row r="51" spans="1:21" s="238" customFormat="1">
      <c r="A51" s="239" t="s">
        <v>973</v>
      </c>
      <c r="B51" s="240">
        <f t="shared" si="13"/>
        <v>839136</v>
      </c>
      <c r="C51" s="241">
        <f>+[1]EVERYTHING!$C$58</f>
        <v>839136</v>
      </c>
      <c r="D51" s="241"/>
      <c r="E51" s="241">
        <f t="shared" si="15"/>
        <v>839136</v>
      </c>
      <c r="F51" s="241"/>
      <c r="G51" s="241"/>
      <c r="H51" s="241"/>
      <c r="I51" s="241"/>
      <c r="J51" s="241"/>
      <c r="K51" s="241"/>
      <c r="L51" s="241"/>
      <c r="M51" s="241"/>
      <c r="N51" s="241"/>
      <c r="O51" s="241"/>
      <c r="P51" s="241"/>
      <c r="Q51" s="241"/>
      <c r="R51" s="241">
        <f t="shared" si="14"/>
        <v>839136</v>
      </c>
      <c r="S51" s="241">
        <f t="shared" si="16"/>
        <v>839136</v>
      </c>
      <c r="T51" s="241"/>
      <c r="U51" s="237"/>
    </row>
    <row r="52" spans="1:21" s="238" customFormat="1">
      <c r="A52" s="246" t="s">
        <v>563</v>
      </c>
      <c r="B52" s="240">
        <f t="shared" si="13"/>
        <v>0</v>
      </c>
      <c r="C52" s="241"/>
      <c r="D52" s="241"/>
      <c r="E52" s="241">
        <f t="shared" si="15"/>
        <v>0</v>
      </c>
      <c r="F52" s="241"/>
      <c r="G52" s="241"/>
      <c r="H52" s="241"/>
      <c r="I52" s="241"/>
      <c r="J52" s="241"/>
      <c r="K52" s="241"/>
      <c r="L52" s="241"/>
      <c r="M52" s="241"/>
      <c r="N52" s="241"/>
      <c r="O52" s="241"/>
      <c r="P52" s="241"/>
      <c r="Q52" s="241"/>
      <c r="R52" s="241">
        <f t="shared" si="14"/>
        <v>0</v>
      </c>
      <c r="S52" s="241">
        <f t="shared" si="16"/>
        <v>0</v>
      </c>
      <c r="T52" s="241"/>
      <c r="U52" s="237"/>
    </row>
    <row r="53" spans="1:21" s="248" customFormat="1">
      <c r="A53" s="243" t="s">
        <v>975</v>
      </c>
      <c r="B53" s="244">
        <f>SUM(C53:D53)</f>
        <v>3481765.3313465207</v>
      </c>
      <c r="C53" s="244">
        <f t="shared" ref="C53:T53" si="17">SUM(C45:C52)</f>
        <v>3481765.3313465207</v>
      </c>
      <c r="D53" s="244">
        <f t="shared" si="17"/>
        <v>0</v>
      </c>
      <c r="E53" s="244">
        <f t="shared" si="17"/>
        <v>3481765.3313465207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3481765.3313465207</v>
      </c>
      <c r="S53" s="244">
        <f t="shared" si="17"/>
        <v>2520792.1456458829</v>
      </c>
      <c r="T53" s="244">
        <f t="shared" si="17"/>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8">SUM(C55+D55)</f>
        <v>30316.667588104996</v>
      </c>
      <c r="C55" s="241">
        <f>+[1]EVERYTHING!$C$62</f>
        <v>30316.667588104996</v>
      </c>
      <c r="D55" s="241"/>
      <c r="E55" s="241">
        <f>+C55-SUM(F55:Q55)</f>
        <v>30316.667588104996</v>
      </c>
      <c r="F55" s="241"/>
      <c r="G55" s="241"/>
      <c r="H55" s="241"/>
      <c r="I55" s="241"/>
      <c r="J55" s="241"/>
      <c r="K55" s="241"/>
      <c r="L55" s="241"/>
      <c r="M55" s="241"/>
      <c r="N55" s="241"/>
      <c r="O55" s="241"/>
      <c r="P55" s="241"/>
      <c r="Q55" s="241"/>
      <c r="R55" s="241">
        <f t="shared" ref="R55:R60" si="19">SUM(E55:Q55)</f>
        <v>30316.667588104996</v>
      </c>
      <c r="S55" s="242"/>
      <c r="T55" s="242"/>
      <c r="U55" s="237"/>
    </row>
    <row r="56" spans="1:21" s="238" customFormat="1" ht="12" customHeight="1">
      <c r="A56" s="239" t="s">
        <v>970</v>
      </c>
      <c r="B56" s="240">
        <f t="shared" si="18"/>
        <v>0</v>
      </c>
      <c r="C56" s="241"/>
      <c r="D56" s="241"/>
      <c r="E56" s="241">
        <f t="shared" ref="E56:E60" si="20">+C56-SUM(F56:Q56)</f>
        <v>0</v>
      </c>
      <c r="F56" s="241"/>
      <c r="G56" s="241"/>
      <c r="H56" s="241"/>
      <c r="I56" s="241"/>
      <c r="J56" s="241"/>
      <c r="K56" s="241"/>
      <c r="L56" s="241"/>
      <c r="M56" s="241"/>
      <c r="N56" s="241"/>
      <c r="O56" s="241"/>
      <c r="P56" s="241"/>
      <c r="Q56" s="241"/>
      <c r="R56" s="241">
        <f t="shared" si="19"/>
        <v>0</v>
      </c>
      <c r="S56" s="242"/>
      <c r="T56" s="242"/>
      <c r="U56" s="237"/>
    </row>
    <row r="57" spans="1:21" s="238" customFormat="1">
      <c r="A57" s="239" t="s">
        <v>974</v>
      </c>
      <c r="B57" s="240">
        <f t="shared" si="18"/>
        <v>20000</v>
      </c>
      <c r="C57" s="241">
        <f>+[1]EVERYTHING!$C$64</f>
        <v>20000</v>
      </c>
      <c r="D57" s="241"/>
      <c r="E57" s="241">
        <f t="shared" si="20"/>
        <v>20000</v>
      </c>
      <c r="F57" s="241"/>
      <c r="G57" s="241"/>
      <c r="H57" s="241"/>
      <c r="I57" s="241"/>
      <c r="J57" s="241"/>
      <c r="K57" s="241"/>
      <c r="L57" s="241"/>
      <c r="M57" s="241"/>
      <c r="N57" s="241"/>
      <c r="O57" s="241"/>
      <c r="P57" s="241"/>
      <c r="Q57" s="241"/>
      <c r="R57" s="241">
        <f t="shared" si="19"/>
        <v>20000</v>
      </c>
      <c r="S57" s="242"/>
      <c r="T57" s="242"/>
      <c r="U57" s="237"/>
    </row>
    <row r="58" spans="1:21" s="238" customFormat="1">
      <c r="A58" s="239" t="s">
        <v>972</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973</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c r="A60" s="246" t="s">
        <v>2419</v>
      </c>
      <c r="B60" s="240">
        <f t="shared" si="18"/>
        <v>20000</v>
      </c>
      <c r="C60" s="241">
        <f>+[1]EVERYTHING!$C$65</f>
        <v>20000</v>
      </c>
      <c r="D60" s="241"/>
      <c r="E60" s="241">
        <f t="shared" si="20"/>
        <v>20000</v>
      </c>
      <c r="F60" s="241"/>
      <c r="G60" s="241"/>
      <c r="H60" s="241"/>
      <c r="I60" s="241"/>
      <c r="J60" s="241"/>
      <c r="K60" s="241"/>
      <c r="L60" s="241"/>
      <c r="M60" s="241"/>
      <c r="N60" s="241"/>
      <c r="O60" s="241"/>
      <c r="P60" s="241"/>
      <c r="Q60" s="241"/>
      <c r="R60" s="241">
        <f t="shared" si="19"/>
        <v>20000</v>
      </c>
      <c r="S60" s="242"/>
      <c r="T60" s="242"/>
      <c r="U60" s="237"/>
    </row>
    <row r="61" spans="1:21" s="238" customFormat="1" ht="13.9" customHeight="1">
      <c r="A61" s="243" t="s">
        <v>528</v>
      </c>
      <c r="B61" s="240">
        <f>SUM(C61:D61)</f>
        <v>70316.667588104989</v>
      </c>
      <c r="C61" s="240">
        <f t="shared" ref="C61:R61" si="21">SUM(C55:C60)</f>
        <v>70316.667588104989</v>
      </c>
      <c r="D61" s="240">
        <f t="shared" si="21"/>
        <v>0</v>
      </c>
      <c r="E61" s="240">
        <f t="shared" si="21"/>
        <v>70316.667588104989</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70316.667588104989</v>
      </c>
      <c r="S61" s="242"/>
      <c r="T61" s="242"/>
      <c r="U61" s="237"/>
    </row>
    <row r="62" spans="1:21" s="238" customFormat="1">
      <c r="A62" s="249" t="s">
        <v>529</v>
      </c>
      <c r="B62" s="240">
        <f>SUM(C62:D62)</f>
        <v>30235146.998934623</v>
      </c>
      <c r="C62" s="240">
        <f t="shared" ref="C62:R62" si="22">SUM(C8+C11+C13+C14+C15+C26+C27+C38+C42+C43+C53+C61)</f>
        <v>30235146.998934623</v>
      </c>
      <c r="D62" s="240">
        <f t="shared" si="22"/>
        <v>0</v>
      </c>
      <c r="E62" s="240">
        <f t="shared" si="22"/>
        <v>17762521.240124125</v>
      </c>
      <c r="F62" s="240">
        <f t="shared" si="22"/>
        <v>531666.75881049945</v>
      </c>
      <c r="G62" s="240">
        <f t="shared" si="22"/>
        <v>6000000</v>
      </c>
      <c r="H62" s="240">
        <f t="shared" si="22"/>
        <v>1300000</v>
      </c>
      <c r="I62" s="240">
        <f t="shared" si="22"/>
        <v>3000000</v>
      </c>
      <c r="J62" s="240">
        <f t="shared" si="22"/>
        <v>0</v>
      </c>
      <c r="K62" s="240">
        <f t="shared" si="22"/>
        <v>1424079</v>
      </c>
      <c r="L62" s="240">
        <f t="shared" si="22"/>
        <v>216780</v>
      </c>
      <c r="M62" s="240">
        <f t="shared" si="22"/>
        <v>0</v>
      </c>
      <c r="N62" s="240">
        <f t="shared" si="22"/>
        <v>100</v>
      </c>
      <c r="O62" s="240">
        <f t="shared" si="22"/>
        <v>0</v>
      </c>
      <c r="P62" s="240">
        <f t="shared" si="22"/>
        <v>0</v>
      </c>
      <c r="Q62" s="240">
        <f t="shared" si="22"/>
        <v>0</v>
      </c>
      <c r="R62" s="240">
        <f t="shared" si="22"/>
        <v>30235146.998934623</v>
      </c>
      <c r="S62" s="240">
        <f>SUM(S10+S13+S14+S15+S26+S27+S38+S42+S43+S53)</f>
        <v>27282778.145645883</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f>+[1]EVERYTHING!$C$69</f>
        <v>60000</v>
      </c>
      <c r="D64" s="241"/>
      <c r="E64" s="241">
        <f>+C64-SUM(F64:Q64)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4">
      <c r="A65" s="239" t="s">
        <v>2048</v>
      </c>
      <c r="B65" s="240">
        <f>SUM(C65+D65)</f>
        <v>0</v>
      </c>
      <c r="C65" s="241"/>
      <c r="D65" s="241"/>
      <c r="E65" s="241">
        <f t="shared" ref="E65:E68" si="23">+C65-SUM(F65:Q65)</f>
        <v>0</v>
      </c>
      <c r="F65" s="241"/>
      <c r="G65" s="241"/>
      <c r="H65" s="241"/>
      <c r="I65" s="241"/>
      <c r="J65" s="241"/>
      <c r="K65" s="241"/>
      <c r="L65" s="241"/>
      <c r="M65" s="241"/>
      <c r="N65" s="241"/>
      <c r="O65" s="241"/>
      <c r="P65" s="241"/>
      <c r="Q65" s="241"/>
      <c r="R65" s="241">
        <f>SUM(E65:Q65)</f>
        <v>0</v>
      </c>
      <c r="S65" s="241">
        <f t="shared" ref="S65:S68" si="24">+R65</f>
        <v>0</v>
      </c>
      <c r="T65" s="241"/>
      <c r="U65" s="237"/>
    </row>
    <row r="66" spans="1:21" s="238" customFormat="1" ht="24">
      <c r="A66" s="239" t="s">
        <v>2049</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c r="A67" s="239" t="s">
        <v>2050</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c r="A68" s="246" t="s">
        <v>2418</v>
      </c>
      <c r="B68" s="240">
        <f>SUM(C68+D68)</f>
        <v>105000</v>
      </c>
      <c r="C68" s="241">
        <f>+[1]EVERYTHING!$C$70+[1]EVERYTHING!$C$71</f>
        <v>105000</v>
      </c>
      <c r="D68" s="241"/>
      <c r="E68" s="241">
        <f t="shared" si="23"/>
        <v>105000</v>
      </c>
      <c r="F68" s="241"/>
      <c r="G68" s="241"/>
      <c r="H68" s="241"/>
      <c r="I68" s="241"/>
      <c r="J68" s="241"/>
      <c r="K68" s="241"/>
      <c r="L68" s="241"/>
      <c r="M68" s="241"/>
      <c r="N68" s="241"/>
      <c r="O68" s="241"/>
      <c r="P68" s="241"/>
      <c r="Q68" s="241"/>
      <c r="R68" s="241">
        <f>SUM(E68:Q68)</f>
        <v>105000</v>
      </c>
      <c r="S68" s="241">
        <f t="shared" si="24"/>
        <v>105000</v>
      </c>
      <c r="T68" s="241"/>
      <c r="U68" s="237"/>
    </row>
    <row r="69" spans="1:21" s="238" customFormat="1">
      <c r="A69" s="243" t="s">
        <v>2051</v>
      </c>
      <c r="B69" s="240">
        <f>SUM(C69:D69)</f>
        <v>165000</v>
      </c>
      <c r="C69" s="240">
        <f>SUM(C63:C68)</f>
        <v>165000</v>
      </c>
      <c r="D69" s="240">
        <f>SUM(D63:D68)</f>
        <v>0</v>
      </c>
      <c r="E69" s="240">
        <f t="shared" ref="E69:T69" si="25">SUM(E64:E68)</f>
        <v>165000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165000</v>
      </c>
      <c r="S69" s="244">
        <f t="shared" si="25"/>
        <v>165000</v>
      </c>
      <c r="T69" s="244">
        <f t="shared" si="25"/>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+C71-SUM(F71:Q71)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ref="E72:E75" si="26">+C72-SUM(F72:Q72)</f>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293729.57142857142</v>
      </c>
      <c r="C74" s="241">
        <f>+[1]EVERYTHING!$C$74</f>
        <v>293729.57142857142</v>
      </c>
      <c r="D74" s="241"/>
      <c r="E74" s="241">
        <f t="shared" si="26"/>
        <v>293729.57142857142</v>
      </c>
      <c r="F74" s="241"/>
      <c r="G74" s="241"/>
      <c r="H74" s="241"/>
      <c r="I74" s="241"/>
      <c r="J74" s="241"/>
      <c r="K74" s="241"/>
      <c r="L74" s="241"/>
      <c r="M74" s="241"/>
      <c r="N74" s="241"/>
      <c r="O74" s="241"/>
      <c r="P74" s="241"/>
      <c r="Q74" s="241"/>
      <c r="R74" s="241">
        <f>SUM(E74:Q74)</f>
        <v>293729.57142857142</v>
      </c>
      <c r="S74" s="242"/>
      <c r="T74" s="242"/>
      <c r="U74" s="237"/>
    </row>
    <row r="75" spans="1:21" s="238" customFormat="1">
      <c r="A75" s="246" t="s">
        <v>563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293729.57142857142</v>
      </c>
      <c r="C76" s="240">
        <f t="shared" ref="C76:Q76" si="27">SUM(C71:C75)</f>
        <v>293729.57142857142</v>
      </c>
      <c r="D76" s="240">
        <f t="shared" si="27"/>
        <v>0</v>
      </c>
      <c r="E76" s="240">
        <f>SUM(E71:E75)</f>
        <v>293729.57142857142</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293729.57142857142</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2399281.8000000003</v>
      </c>
      <c r="C78" s="241">
        <f>+[1]EVERYTHING!$C$80</f>
        <v>2399281.8000000003</v>
      </c>
      <c r="D78" s="241"/>
      <c r="E78" s="241">
        <f>+C78-SUM(F78:Q78)</f>
        <v>2399281.8000000003</v>
      </c>
      <c r="F78" s="241"/>
      <c r="G78" s="241"/>
      <c r="H78" s="241"/>
      <c r="I78" s="241"/>
      <c r="J78" s="241"/>
      <c r="K78" s="241"/>
      <c r="L78" s="241"/>
      <c r="M78" s="241"/>
      <c r="N78" s="241"/>
      <c r="O78" s="241"/>
      <c r="P78" s="241"/>
      <c r="Q78" s="241"/>
      <c r="R78" s="241">
        <f>SUM(E78:Q78)</f>
        <v>2399281.8000000003</v>
      </c>
      <c r="S78" s="241">
        <f>+R78</f>
        <v>2399281.8000000003</v>
      </c>
      <c r="T78" s="241"/>
      <c r="U78" s="237"/>
    </row>
    <row r="79" spans="1:21" s="238" customFormat="1">
      <c r="A79" s="239" t="s">
        <v>568</v>
      </c>
      <c r="B79" s="240">
        <f>SUM(C79+D79)</f>
        <v>320000</v>
      </c>
      <c r="C79" s="241">
        <f>+[1]EVERYTHING!$C$91</f>
        <v>320000</v>
      </c>
      <c r="D79" s="241"/>
      <c r="E79" s="241">
        <f>+C79-SUM(F79:Q79)</f>
        <v>320000</v>
      </c>
      <c r="F79" s="241"/>
      <c r="G79" s="241"/>
      <c r="H79" s="241"/>
      <c r="I79" s="241"/>
      <c r="J79" s="241"/>
      <c r="K79" s="241"/>
      <c r="L79" s="241"/>
      <c r="M79" s="241"/>
      <c r="N79" s="241"/>
      <c r="O79" s="241"/>
      <c r="P79" s="241"/>
      <c r="Q79" s="241"/>
      <c r="R79" s="241">
        <f>SUM(E79:Q79)</f>
        <v>320000</v>
      </c>
      <c r="S79" s="241">
        <f>+R79</f>
        <v>320000</v>
      </c>
      <c r="T79" s="241"/>
      <c r="U79" s="237"/>
    </row>
    <row r="80" spans="1:21" s="238" customFormat="1">
      <c r="A80" s="243" t="s">
        <v>1813</v>
      </c>
      <c r="B80" s="240">
        <f>SUM(C80:D80)</f>
        <v>2719281.8000000003</v>
      </c>
      <c r="C80" s="673">
        <f>SUM(C78:C79)</f>
        <v>2719281.8000000003</v>
      </c>
      <c r="D80" s="673">
        <f t="shared" ref="D80:R80" si="28">SUM(D78:D79)</f>
        <v>0</v>
      </c>
      <c r="E80" s="673">
        <f t="shared" si="28"/>
        <v>2719281.8000000003</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2719281.8000000003</v>
      </c>
      <c r="S80" s="673">
        <f>SUM(S78:S79)</f>
        <v>2719281.8000000003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125780</v>
      </c>
      <c r="C82" s="241">
        <f>+[1]EVERYTHING!$C$82</f>
        <v>125780</v>
      </c>
      <c r="D82" s="241"/>
      <c r="E82" s="241">
        <f>+C82-SUM(F82:Q82)</f>
        <v>125780</v>
      </c>
      <c r="F82" s="241"/>
      <c r="G82" s="241"/>
      <c r="H82" s="241"/>
      <c r="I82" s="241"/>
      <c r="J82" s="241"/>
      <c r="K82" s="241"/>
      <c r="L82" s="241"/>
      <c r="M82" s="241"/>
      <c r="N82" s="241"/>
      <c r="O82" s="241"/>
      <c r="P82" s="241"/>
      <c r="Q82" s="241"/>
      <c r="R82" s="241">
        <f>SUM(E82:Q82)</f>
        <v>125780</v>
      </c>
      <c r="S82" s="242"/>
      <c r="T82" s="242"/>
      <c r="U82" s="237"/>
    </row>
    <row r="83" spans="1:21" s="238" customFormat="1">
      <c r="A83" s="239" t="s">
        <v>546</v>
      </c>
      <c r="B83" s="240">
        <f t="shared" ref="B83:B93" si="29">SUM(C83+D83)</f>
        <v>0</v>
      </c>
      <c r="C83" s="241"/>
      <c r="D83" s="241"/>
      <c r="E83" s="241">
        <f t="shared" ref="E83:E94" si="30">+C83-SUM(F83:Q83)</f>
        <v>0</v>
      </c>
      <c r="F83" s="241"/>
      <c r="G83" s="241"/>
      <c r="H83" s="241"/>
      <c r="I83" s="241"/>
      <c r="J83" s="241"/>
      <c r="K83" s="241"/>
      <c r="L83" s="241"/>
      <c r="M83" s="241"/>
      <c r="N83" s="241"/>
      <c r="O83" s="241"/>
      <c r="P83" s="241"/>
      <c r="Q83" s="241"/>
      <c r="R83" s="241">
        <f t="shared" ref="R83:R93" si="31">SUM(E83:Q83)</f>
        <v>0</v>
      </c>
      <c r="S83" s="241"/>
      <c r="T83" s="241"/>
      <c r="U83" s="237"/>
    </row>
    <row r="84" spans="1:21" s="238" customFormat="1">
      <c r="A84" s="239" t="s">
        <v>547</v>
      </c>
      <c r="B84" s="240">
        <f t="shared" si="29"/>
        <v>1143995</v>
      </c>
      <c r="C84" s="241">
        <f>+[1]EVERYTHING!$C$84</f>
        <v>1143995</v>
      </c>
      <c r="D84" s="241"/>
      <c r="E84" s="241">
        <f t="shared" si="30"/>
        <v>762355</v>
      </c>
      <c r="F84" s="241"/>
      <c r="G84" s="241"/>
      <c r="H84" s="241"/>
      <c r="I84" s="241"/>
      <c r="J84" s="241">
        <f>+[1]EVERYTHING!$C$12</f>
        <v>381640</v>
      </c>
      <c r="K84" s="241"/>
      <c r="L84" s="241"/>
      <c r="M84" s="241"/>
      <c r="N84" s="241"/>
      <c r="O84" s="241"/>
      <c r="P84" s="241"/>
      <c r="Q84" s="241"/>
      <c r="R84" s="241">
        <f t="shared" si="31"/>
        <v>1143995</v>
      </c>
      <c r="S84" s="241">
        <f>+[1]EVERYTHING!$F$84</f>
        <v>762355</v>
      </c>
      <c r="T84" s="241"/>
      <c r="U84" s="237"/>
    </row>
    <row r="85" spans="1:21" s="238" customFormat="1">
      <c r="A85" s="239" t="s">
        <v>548</v>
      </c>
      <c r="B85" s="240">
        <f t="shared" si="29"/>
        <v>183351</v>
      </c>
      <c r="C85" s="241">
        <f>+[1]EVERYTHING!$C$85</f>
        <v>183351</v>
      </c>
      <c r="D85" s="241"/>
      <c r="E85" s="241">
        <f t="shared" si="30"/>
        <v>183351</v>
      </c>
      <c r="F85" s="241"/>
      <c r="G85" s="241"/>
      <c r="H85" s="241"/>
      <c r="I85" s="241"/>
      <c r="J85" s="241"/>
      <c r="K85" s="241"/>
      <c r="L85" s="241"/>
      <c r="M85" s="241"/>
      <c r="N85" s="241"/>
      <c r="O85" s="241"/>
      <c r="P85" s="241"/>
      <c r="Q85" s="241"/>
      <c r="R85" s="241">
        <f t="shared" si="31"/>
        <v>183351</v>
      </c>
      <c r="S85" s="241">
        <f>+R85</f>
        <v>183351</v>
      </c>
      <c r="T85" s="241"/>
      <c r="U85" s="237"/>
    </row>
    <row r="86" spans="1:21" s="238" customFormat="1">
      <c r="A86" s="239" t="s">
        <v>549</v>
      </c>
      <c r="B86" s="240">
        <f t="shared" si="29"/>
        <v>0</v>
      </c>
      <c r="C86" s="241"/>
      <c r="D86" s="241"/>
      <c r="E86" s="241">
        <f t="shared" si="30"/>
        <v>0</v>
      </c>
      <c r="F86" s="241"/>
      <c r="G86" s="241"/>
      <c r="H86" s="241"/>
      <c r="I86" s="241"/>
      <c r="J86" s="241"/>
      <c r="K86" s="241"/>
      <c r="L86" s="241"/>
      <c r="M86" s="241"/>
      <c r="N86" s="241"/>
      <c r="O86" s="241"/>
      <c r="P86" s="241"/>
      <c r="Q86" s="241"/>
      <c r="R86" s="241">
        <f t="shared" si="31"/>
        <v>0</v>
      </c>
      <c r="S86" s="241"/>
      <c r="T86" s="241"/>
      <c r="U86" s="237"/>
    </row>
    <row r="87" spans="1:21" s="238" customFormat="1">
      <c r="A87" s="239" t="s">
        <v>550</v>
      </c>
      <c r="B87" s="240">
        <f t="shared" si="29"/>
        <v>116000</v>
      </c>
      <c r="C87" s="241">
        <f>+[1]EVERYTHING!$C$87</f>
        <v>116000</v>
      </c>
      <c r="D87" s="241"/>
      <c r="E87" s="241">
        <f t="shared" si="30"/>
        <v>116000</v>
      </c>
      <c r="F87" s="241"/>
      <c r="G87" s="241"/>
      <c r="H87" s="241"/>
      <c r="I87" s="241"/>
      <c r="J87" s="241"/>
      <c r="K87" s="241"/>
      <c r="L87" s="241"/>
      <c r="M87" s="241"/>
      <c r="N87" s="241"/>
      <c r="O87" s="241"/>
      <c r="P87" s="241"/>
      <c r="Q87" s="241"/>
      <c r="R87" s="241">
        <f t="shared" si="31"/>
        <v>116000</v>
      </c>
      <c r="S87" s="242"/>
      <c r="T87" s="242"/>
      <c r="U87" s="237"/>
    </row>
    <row r="88" spans="1:21" s="238" customFormat="1">
      <c r="A88" s="239" t="s">
        <v>551</v>
      </c>
      <c r="B88" s="240">
        <f t="shared" si="29"/>
        <v>100000</v>
      </c>
      <c r="C88" s="241">
        <f>+[1]EVERYTHING!$C$89</f>
        <v>100000</v>
      </c>
      <c r="D88" s="241"/>
      <c r="E88" s="241">
        <f t="shared" si="30"/>
        <v>100000</v>
      </c>
      <c r="F88" s="241"/>
      <c r="G88" s="241"/>
      <c r="H88" s="241"/>
      <c r="I88" s="241"/>
      <c r="J88" s="241"/>
      <c r="K88" s="241"/>
      <c r="L88" s="241"/>
      <c r="M88" s="241"/>
      <c r="N88" s="241"/>
      <c r="O88" s="241"/>
      <c r="P88" s="241"/>
      <c r="Q88" s="241"/>
      <c r="R88" s="241">
        <f t="shared" si="31"/>
        <v>100000</v>
      </c>
      <c r="S88" s="241">
        <f>+R88</f>
        <v>100000</v>
      </c>
      <c r="T88" s="241"/>
      <c r="U88" s="237"/>
    </row>
    <row r="89" spans="1:21" s="238" customFormat="1">
      <c r="A89" s="239" t="s">
        <v>552</v>
      </c>
      <c r="B89" s="240">
        <f t="shared" si="29"/>
        <v>5500</v>
      </c>
      <c r="C89" s="241">
        <f>+[1]EVERYTHING!$C$86</f>
        <v>5500</v>
      </c>
      <c r="D89" s="241"/>
      <c r="E89" s="241">
        <f t="shared" si="30"/>
        <v>5500</v>
      </c>
      <c r="F89" s="241"/>
      <c r="G89" s="241"/>
      <c r="H89" s="241"/>
      <c r="I89" s="241"/>
      <c r="J89" s="241"/>
      <c r="K89" s="241"/>
      <c r="L89" s="241"/>
      <c r="M89" s="241"/>
      <c r="N89" s="241"/>
      <c r="O89" s="241"/>
      <c r="P89" s="241"/>
      <c r="Q89" s="241"/>
      <c r="R89" s="241">
        <f t="shared" si="31"/>
        <v>5500</v>
      </c>
      <c r="S89" s="241"/>
      <c r="T89" s="241"/>
      <c r="U89" s="237"/>
    </row>
    <row r="90" spans="1:21" s="238" customFormat="1">
      <c r="A90" s="250" t="s">
        <v>1366</v>
      </c>
      <c r="B90" s="240">
        <f t="shared" si="29"/>
        <v>0</v>
      </c>
      <c r="C90" s="241"/>
      <c r="D90" s="241"/>
      <c r="E90" s="241">
        <f t="shared" si="30"/>
        <v>0</v>
      </c>
      <c r="F90" s="241"/>
      <c r="G90" s="241"/>
      <c r="H90" s="241"/>
      <c r="I90" s="241"/>
      <c r="J90" s="241"/>
      <c r="K90" s="241"/>
      <c r="L90" s="241"/>
      <c r="M90" s="241"/>
      <c r="N90" s="241"/>
      <c r="O90" s="241"/>
      <c r="P90" s="241"/>
      <c r="Q90" s="241"/>
      <c r="R90" s="241">
        <f t="shared" si="31"/>
        <v>0</v>
      </c>
      <c r="S90" s="241"/>
      <c r="T90" s="241"/>
      <c r="U90" s="237"/>
    </row>
    <row r="91" spans="1:21" s="238" customFormat="1">
      <c r="A91" s="250" t="s">
        <v>1811</v>
      </c>
      <c r="B91" s="240">
        <f t="shared" si="29"/>
        <v>10000</v>
      </c>
      <c r="C91" s="241">
        <f>+[1]EVERYTHING!$C$79</f>
        <v>10000</v>
      </c>
      <c r="D91" s="241"/>
      <c r="E91" s="241">
        <f t="shared" si="30"/>
        <v>10000</v>
      </c>
      <c r="F91" s="241"/>
      <c r="G91" s="241"/>
      <c r="H91" s="241"/>
      <c r="I91" s="241"/>
      <c r="J91" s="241"/>
      <c r="K91" s="241"/>
      <c r="L91" s="241"/>
      <c r="M91" s="241"/>
      <c r="N91" s="241"/>
      <c r="O91" s="241"/>
      <c r="P91" s="241"/>
      <c r="Q91" s="241"/>
      <c r="R91" s="241">
        <f t="shared" si="31"/>
        <v>10000</v>
      </c>
      <c r="S91" s="241">
        <f>+R91</f>
        <v>10000</v>
      </c>
      <c r="T91" s="241"/>
      <c r="U91" s="237"/>
    </row>
    <row r="92" spans="1:21" s="238" customFormat="1">
      <c r="A92" s="246" t="s">
        <v>2420</v>
      </c>
      <c r="B92" s="240">
        <f t="shared" si="29"/>
        <v>569860</v>
      </c>
      <c r="C92" s="241">
        <f>+[1]EVERYTHING!$C$29</f>
        <v>569860</v>
      </c>
      <c r="D92" s="241"/>
      <c r="E92" s="241">
        <f t="shared" si="30"/>
        <v>569860</v>
      </c>
      <c r="F92" s="241"/>
      <c r="G92" s="241"/>
      <c r="H92" s="241"/>
      <c r="I92" s="241"/>
      <c r="J92" s="241"/>
      <c r="K92" s="241"/>
      <c r="L92" s="241"/>
      <c r="M92" s="241"/>
      <c r="N92" s="241"/>
      <c r="O92" s="241"/>
      <c r="P92" s="241"/>
      <c r="Q92" s="241"/>
      <c r="R92" s="241">
        <f t="shared" si="31"/>
        <v>569860</v>
      </c>
      <c r="S92" s="241"/>
      <c r="T92" s="241"/>
      <c r="U92" s="237"/>
    </row>
    <row r="93" spans="1:21" s="238" customFormat="1">
      <c r="A93" s="246" t="s">
        <v>563</v>
      </c>
      <c r="B93" s="240">
        <f t="shared" si="29"/>
        <v>0</v>
      </c>
      <c r="C93" s="241"/>
      <c r="D93" s="241"/>
      <c r="E93" s="241">
        <f t="shared" si="30"/>
        <v>0</v>
      </c>
      <c r="F93" s="241"/>
      <c r="G93" s="241"/>
      <c r="H93" s="241"/>
      <c r="I93" s="241"/>
      <c r="J93" s="241"/>
      <c r="K93" s="241"/>
      <c r="L93" s="241"/>
      <c r="M93" s="241"/>
      <c r="N93" s="241"/>
      <c r="O93" s="241"/>
      <c r="P93" s="241"/>
      <c r="Q93" s="241"/>
      <c r="R93" s="241">
        <f t="shared" si="31"/>
        <v>0</v>
      </c>
      <c r="S93" s="241"/>
      <c r="T93" s="241"/>
      <c r="U93" s="237"/>
    </row>
    <row r="94" spans="1:21" s="238" customFormat="1">
      <c r="A94" s="246" t="s">
        <v>563</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2254486</v>
      </c>
      <c r="C95" s="240">
        <f t="shared" ref="C95:R95" si="32">SUM(C82:C94)</f>
        <v>2254486</v>
      </c>
      <c r="D95" s="240">
        <f t="shared" si="32"/>
        <v>0</v>
      </c>
      <c r="E95" s="240">
        <f t="shared" si="32"/>
        <v>1872846</v>
      </c>
      <c r="F95" s="240">
        <f t="shared" si="32"/>
        <v>0</v>
      </c>
      <c r="G95" s="240">
        <f t="shared" si="32"/>
        <v>0</v>
      </c>
      <c r="H95" s="240">
        <f t="shared" si="32"/>
        <v>0</v>
      </c>
      <c r="I95" s="240">
        <f t="shared" si="32"/>
        <v>0</v>
      </c>
      <c r="J95" s="240">
        <f t="shared" si="32"/>
        <v>381640</v>
      </c>
      <c r="K95" s="240">
        <f t="shared" si="32"/>
        <v>0</v>
      </c>
      <c r="L95" s="240">
        <f t="shared" si="32"/>
        <v>0</v>
      </c>
      <c r="M95" s="240">
        <f t="shared" si="32"/>
        <v>0</v>
      </c>
      <c r="N95" s="240">
        <f t="shared" si="32"/>
        <v>0</v>
      </c>
      <c r="O95" s="240">
        <f t="shared" si="32"/>
        <v>0</v>
      </c>
      <c r="P95" s="240">
        <f t="shared" si="32"/>
        <v>0</v>
      </c>
      <c r="Q95" s="240">
        <f t="shared" si="32"/>
        <v>0</v>
      </c>
      <c r="R95" s="240">
        <f t="shared" si="32"/>
        <v>2254486</v>
      </c>
      <c r="S95" s="244">
        <f>SUM(S83:S86,S88:S94)</f>
        <v>1055706</v>
      </c>
      <c r="T95" s="240">
        <f>SUM(T83:T86,T88:T94)</f>
        <v>0</v>
      </c>
      <c r="U95" s="237"/>
    </row>
    <row r="96" spans="1:21" s="238" customFormat="1">
      <c r="A96" s="243" t="s">
        <v>554</v>
      </c>
      <c r="B96" s="240">
        <f>SUM(C96:D96)</f>
        <v>35667644.370363191</v>
      </c>
      <c r="C96" s="240">
        <f t="shared" ref="C96:R96" si="33">SUM(C62+C69+C76+C80+C95)</f>
        <v>35667644.370363191</v>
      </c>
      <c r="D96" s="240">
        <f t="shared" si="33"/>
        <v>0</v>
      </c>
      <c r="E96" s="240">
        <f t="shared" si="33"/>
        <v>22813378.611552697</v>
      </c>
      <c r="F96" s="240">
        <f t="shared" si="33"/>
        <v>531666.75881049945</v>
      </c>
      <c r="G96" s="240">
        <f t="shared" si="33"/>
        <v>6000000</v>
      </c>
      <c r="H96" s="240">
        <f t="shared" si="33"/>
        <v>1300000</v>
      </c>
      <c r="I96" s="240">
        <f t="shared" si="33"/>
        <v>3000000</v>
      </c>
      <c r="J96" s="240">
        <f t="shared" si="33"/>
        <v>381640</v>
      </c>
      <c r="K96" s="240">
        <f t="shared" si="33"/>
        <v>1424079</v>
      </c>
      <c r="L96" s="240">
        <f t="shared" si="33"/>
        <v>216780</v>
      </c>
      <c r="M96" s="240">
        <f t="shared" si="33"/>
        <v>0</v>
      </c>
      <c r="N96" s="240">
        <f t="shared" si="33"/>
        <v>100</v>
      </c>
      <c r="O96" s="240">
        <f t="shared" si="33"/>
        <v>0</v>
      </c>
      <c r="P96" s="240">
        <f t="shared" si="33"/>
        <v>0</v>
      </c>
      <c r="Q96" s="240">
        <f t="shared" si="33"/>
        <v>0</v>
      </c>
      <c r="R96" s="240">
        <f t="shared" si="33"/>
        <v>35667644.370363191</v>
      </c>
      <c r="S96" s="244">
        <f>SUM(+S62+S69+S80+S95)</f>
        <v>31222765.945645884</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+[1]EVERYTHING!$C$95</f>
        <v>2200000</v>
      </c>
      <c r="D98" s="241"/>
      <c r="E98" s="241">
        <f>+C98-SUM(F98:Q98)</f>
        <v>1832482</v>
      </c>
      <c r="F98" s="241"/>
      <c r="G98" s="241"/>
      <c r="H98" s="241"/>
      <c r="I98" s="241"/>
      <c r="J98" s="241"/>
      <c r="K98" s="241"/>
      <c r="L98" s="241"/>
      <c r="M98" s="241">
        <v>367518</v>
      </c>
      <c r="N98" s="241"/>
      <c r="O98" s="241"/>
      <c r="P98" s="241"/>
      <c r="Q98" s="241"/>
      <c r="R98" s="241">
        <f>SUM(E98:Q98)</f>
        <v>2200000</v>
      </c>
      <c r="S98" s="241">
        <f>+R98</f>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4">SUM(C98:C102)</f>
        <v>2200000</v>
      </c>
      <c r="D103" s="240">
        <f t="shared" si="34"/>
        <v>0</v>
      </c>
      <c r="E103" s="240">
        <f t="shared" si="34"/>
        <v>1832482</v>
      </c>
      <c r="F103" s="240">
        <f t="shared" si="34"/>
        <v>0</v>
      </c>
      <c r="G103" s="240">
        <f t="shared" si="34"/>
        <v>0</v>
      </c>
      <c r="H103" s="240">
        <f t="shared" si="34"/>
        <v>0</v>
      </c>
      <c r="I103" s="240">
        <f t="shared" si="34"/>
        <v>0</v>
      </c>
      <c r="J103" s="240">
        <f t="shared" si="34"/>
        <v>0</v>
      </c>
      <c r="K103" s="240">
        <f t="shared" si="34"/>
        <v>0</v>
      </c>
      <c r="L103" s="240">
        <f t="shared" si="34"/>
        <v>0</v>
      </c>
      <c r="M103" s="240">
        <f t="shared" si="34"/>
        <v>367518</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1202</v>
      </c>
      <c r="B104" s="244">
        <f>SUM(C104:D104)</f>
        <v>37867644.370363191</v>
      </c>
      <c r="C104" s="244">
        <f t="shared" ref="C104:R104" si="35">SUM(C96+C103)</f>
        <v>37867644.370363191</v>
      </c>
      <c r="D104" s="244">
        <f t="shared" si="35"/>
        <v>0</v>
      </c>
      <c r="E104" s="244">
        <f t="shared" si="35"/>
        <v>24645860.611552697</v>
      </c>
      <c r="F104" s="244">
        <f t="shared" si="35"/>
        <v>531666.75881049945</v>
      </c>
      <c r="G104" s="244">
        <f t="shared" si="35"/>
        <v>6000000</v>
      </c>
      <c r="H104" s="244">
        <f t="shared" si="35"/>
        <v>1300000</v>
      </c>
      <c r="I104" s="244">
        <f t="shared" si="35"/>
        <v>3000000</v>
      </c>
      <c r="J104" s="244">
        <f t="shared" si="35"/>
        <v>381640</v>
      </c>
      <c r="K104" s="244">
        <f t="shared" si="35"/>
        <v>1424079</v>
      </c>
      <c r="L104" s="244">
        <f t="shared" si="35"/>
        <v>216780</v>
      </c>
      <c r="M104" s="244">
        <f t="shared" si="35"/>
        <v>367518</v>
      </c>
      <c r="N104" s="244">
        <f t="shared" si="35"/>
        <v>100</v>
      </c>
      <c r="O104" s="244">
        <f t="shared" si="35"/>
        <v>0</v>
      </c>
      <c r="P104" s="244">
        <f t="shared" si="35"/>
        <v>0</v>
      </c>
      <c r="Q104" s="244">
        <f t="shared" si="35"/>
        <v>0</v>
      </c>
      <c r="R104" s="240">
        <f t="shared" si="35"/>
        <v>37867644.370363191</v>
      </c>
      <c r="S104" s="244">
        <f>S96+S103</f>
        <v>33422765.945645884</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33422765.945645884</v>
      </c>
      <c r="T106" s="244">
        <f>T104+T105</f>
        <v>0</v>
      </c>
      <c r="U106" s="256"/>
    </row>
    <row r="107" spans="1:21" s="258" customFormat="1">
      <c r="A107" s="257" t="s">
        <v>1152</v>
      </c>
      <c r="B107" s="252"/>
      <c r="C107" s="252"/>
      <c r="D107" s="252"/>
      <c r="E107" s="240">
        <f>Application!AO631</f>
        <v>24645860.5</v>
      </c>
      <c r="F107" s="240">
        <f>Application!AO618</f>
        <v>531666.75881049945</v>
      </c>
      <c r="G107" s="240">
        <f>Application!AO619</f>
        <v>6000000</v>
      </c>
      <c r="H107" s="240">
        <f>Application!AO620</f>
        <v>1300000</v>
      </c>
      <c r="I107" s="240">
        <f>Application!AO621</f>
        <v>3000000</v>
      </c>
      <c r="J107" s="240">
        <f>Application!AO622</f>
        <v>381640</v>
      </c>
      <c r="K107" s="240">
        <f>Application!AO623</f>
        <v>1424079</v>
      </c>
      <c r="L107" s="240">
        <f>Application!AO624</f>
        <v>216780</v>
      </c>
      <c r="M107" s="240">
        <f>Application!AO625</f>
        <v>367518</v>
      </c>
      <c r="N107" s="240">
        <f>Application!AO626</f>
        <v>100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1" t="s">
        <v>1342</v>
      </c>
      <c r="E122" s="1571"/>
      <c r="F122" s="1571"/>
      <c r="U122" s="256"/>
    </row>
    <row r="123" spans="1:21" s="253" customFormat="1">
      <c r="A123" s="253" t="s">
        <v>1343</v>
      </c>
      <c r="B123" s="553"/>
      <c r="D123" s="1573" t="s">
        <v>1367</v>
      </c>
      <c r="E123" s="1574"/>
      <c r="F123" s="1574"/>
      <c r="G123" s="1574"/>
      <c r="H123" s="1574"/>
      <c r="I123" s="1574"/>
      <c r="J123" s="1574"/>
      <c r="K123" s="1574"/>
      <c r="L123" s="1574"/>
      <c r="M123" s="1574"/>
      <c r="N123" s="1574"/>
      <c r="O123" s="1574"/>
      <c r="P123" s="1574"/>
      <c r="Q123" s="1574"/>
      <c r="R123" s="1574"/>
      <c r="S123" s="1574"/>
      <c r="U123" s="256"/>
    </row>
    <row r="124" spans="1:21" s="253" customFormat="1" ht="12.75">
      <c r="A124" s="209" t="s">
        <v>1344</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5">
      <c r="A125" s="209" t="s">
        <v>1345</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2.75">
      <c r="A129" s="209" t="s">
        <v>527</v>
      </c>
      <c r="B129" s="553"/>
      <c r="C129" s="209"/>
      <c r="D129" s="1570" t="s">
        <v>1349</v>
      </c>
      <c r="E129" s="1570"/>
      <c r="F129" s="1570"/>
      <c r="G129" s="1570"/>
      <c r="H129" s="1570"/>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75">
      <c r="A132" s="555"/>
      <c r="B132" s="209"/>
      <c r="C132" s="209"/>
      <c r="D132" s="1575" t="s">
        <v>1352</v>
      </c>
      <c r="E132" s="1575"/>
      <c r="F132" s="1575"/>
      <c r="G132" s="1575"/>
      <c r="H132" s="1575"/>
      <c r="I132" s="209"/>
      <c r="J132" s="1575" t="s">
        <v>1353</v>
      </c>
      <c r="K132" s="1575"/>
      <c r="L132" s="1575"/>
      <c r="M132" s="1575"/>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1355</v>
      </c>
      <c r="B139" s="1572"/>
      <c r="C139" s="1572"/>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4"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0" t="s">
        <v>1817</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NON-DDA/
NON-QCT Building(s)</v>
      </c>
      <c r="U7" s="1585"/>
      <c r="V7" s="1585"/>
      <c r="W7" s="1585"/>
      <c r="X7" s="1585"/>
      <c r="Y7" s="1585" t="str">
        <f>IF(T25=100%," ",'Sources and Basis Breakdown'!G2)</f>
        <v xml:space="preserve"> </v>
      </c>
      <c r="Z7" s="1585"/>
      <c r="AA7" s="1585"/>
      <c r="AB7" s="1585"/>
      <c r="AC7" s="1585"/>
      <c r="AD7" s="1585" t="str">
        <f>IF(T25=100%,'Sources and Basis Breakdown'!J2,'Sources and Basis Breakdown'!I2)</f>
        <v>30% PVC for Acquisition
NON-DDA/
NON-QCT Building(s)</v>
      </c>
      <c r="AE7" s="1585"/>
      <c r="AF7" s="1585"/>
      <c r="AG7" s="1585"/>
      <c r="AH7" s="1585"/>
      <c r="AI7" s="1585" t="str">
        <f>IF(T25=100%," ",'Sources and Basis Breakdown'!J2)</f>
        <v xml:space="preserve"> </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33422765.945645884</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0</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2.95"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1783</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2.95" customHeight="1">
      <c r="B14" s="8"/>
      <c r="C14" s="1613" t="s">
        <v>803</v>
      </c>
      <c r="D14" s="1613"/>
      <c r="E14" s="1613"/>
      <c r="F14" s="1613"/>
      <c r="G14" s="1613"/>
      <c r="H14" s="1613"/>
      <c r="I14" s="1613"/>
      <c r="J14" s="1613"/>
      <c r="K14" s="1613"/>
      <c r="L14" s="1613"/>
      <c r="M14" s="1613"/>
      <c r="N14" s="1613"/>
      <c r="O14" s="1613"/>
      <c r="P14" s="1613"/>
      <c r="Q14" s="1613"/>
      <c r="R14" s="1613"/>
      <c r="S14" s="1614"/>
      <c r="T14" s="1060"/>
      <c r="U14" s="1237"/>
      <c r="V14" s="1237"/>
      <c r="W14" s="1237"/>
      <c r="X14" s="1237"/>
      <c r="Y14" s="1060"/>
      <c r="Z14" s="1237"/>
      <c r="AA14" s="1237"/>
      <c r="AB14" s="1237"/>
      <c r="AC14" s="1237"/>
      <c r="AD14" s="1237"/>
      <c r="AE14" s="1237"/>
      <c r="AF14" s="1237"/>
      <c r="AG14" s="1237"/>
      <c r="AH14" s="1237"/>
      <c r="AI14" s="1237"/>
      <c r="AJ14" s="1237"/>
      <c r="AK14" s="1237"/>
      <c r="AL14" s="1237"/>
      <c r="AM14" s="1237"/>
    </row>
    <row r="15" spans="1:40" ht="12.95" customHeight="1">
      <c r="B15" s="8"/>
      <c r="C15" s="1613" t="s">
        <v>804</v>
      </c>
      <c r="D15" s="1613"/>
      <c r="E15" s="1613"/>
      <c r="F15" s="1613"/>
      <c r="G15" s="1613"/>
      <c r="H15" s="1613"/>
      <c r="I15" s="1613"/>
      <c r="J15" s="1613"/>
      <c r="K15" s="1613"/>
      <c r="L15" s="1613"/>
      <c r="M15" s="1613"/>
      <c r="N15" s="1613"/>
      <c r="O15" s="1613"/>
      <c r="P15" s="1613"/>
      <c r="Q15" s="1613"/>
      <c r="R15" s="1613"/>
      <c r="S15" s="1614"/>
      <c r="T15" s="1060"/>
      <c r="U15" s="1237"/>
      <c r="V15" s="1237"/>
      <c r="W15" s="1237"/>
      <c r="X15" s="1237"/>
      <c r="Y15" s="1060"/>
      <c r="Z15" s="1237"/>
      <c r="AA15" s="1237"/>
      <c r="AB15" s="1237"/>
      <c r="AC15" s="1237"/>
      <c r="AD15" s="1237"/>
      <c r="AE15" s="1237"/>
      <c r="AF15" s="1237"/>
      <c r="AG15" s="1237"/>
      <c r="AH15" s="1237"/>
      <c r="AI15" s="1237"/>
      <c r="AJ15" s="1237"/>
      <c r="AK15" s="1237"/>
      <c r="AL15" s="1237"/>
      <c r="AM15" s="1237"/>
    </row>
    <row r="16" spans="1:40" ht="12.95" customHeight="1">
      <c r="B16" s="8"/>
      <c r="C16" s="1612" t="s">
        <v>1055</v>
      </c>
      <c r="D16" s="1612"/>
      <c r="E16" s="1612"/>
      <c r="F16" s="1612"/>
      <c r="G16" s="1612"/>
      <c r="H16" s="1612"/>
      <c r="I16" s="1612"/>
      <c r="J16" s="1612"/>
      <c r="K16" s="1612"/>
      <c r="L16" s="1612"/>
      <c r="M16" s="1612"/>
      <c r="N16" s="1612"/>
      <c r="O16" s="1612"/>
      <c r="P16" s="1612"/>
      <c r="Q16" s="1612"/>
      <c r="R16" s="1612"/>
      <c r="S16" s="1615"/>
      <c r="T16" s="1060"/>
      <c r="U16" s="1237"/>
      <c r="V16" s="1237"/>
      <c r="W16" s="1237"/>
      <c r="X16" s="1237"/>
      <c r="Y16" s="1060"/>
      <c r="Z16" s="1237"/>
      <c r="AA16" s="1237"/>
      <c r="AB16" s="1237"/>
      <c r="AC16" s="1237"/>
      <c r="AD16" s="1237"/>
      <c r="AE16" s="1237"/>
      <c r="AF16" s="1237"/>
      <c r="AG16" s="1237"/>
      <c r="AH16" s="1237"/>
      <c r="AI16" s="1237"/>
      <c r="AJ16" s="1237"/>
      <c r="AK16" s="1237"/>
      <c r="AL16" s="1237"/>
      <c r="AM16" s="1237"/>
    </row>
    <row r="17" spans="1:39" ht="12.95" customHeight="1">
      <c r="B17" s="8"/>
      <c r="C17" s="1613" t="s">
        <v>805</v>
      </c>
      <c r="D17" s="1613"/>
      <c r="E17" s="1613"/>
      <c r="F17" s="1613"/>
      <c r="G17" s="1613"/>
      <c r="H17" s="1613"/>
      <c r="I17" s="1613"/>
      <c r="J17" s="1613"/>
      <c r="K17" s="1613"/>
      <c r="L17" s="1613"/>
      <c r="M17" s="1613"/>
      <c r="N17" s="1613"/>
      <c r="O17" s="1613"/>
      <c r="P17" s="1613"/>
      <c r="Q17" s="1613"/>
      <c r="R17" s="1613"/>
      <c r="S17" s="1614"/>
      <c r="T17" s="1060"/>
      <c r="U17" s="1237"/>
      <c r="V17" s="1237"/>
      <c r="W17" s="1237"/>
      <c r="X17" s="1237"/>
      <c r="Y17" s="1060"/>
      <c r="Z17" s="1237"/>
      <c r="AA17" s="1237"/>
      <c r="AB17" s="1237"/>
      <c r="AC17" s="1237"/>
      <c r="AD17" s="1237"/>
      <c r="AE17" s="1237"/>
      <c r="AF17" s="1237"/>
      <c r="AG17" s="1237"/>
      <c r="AH17" s="1237"/>
      <c r="AI17" s="1237"/>
      <c r="AJ17" s="1237"/>
      <c r="AK17" s="1237"/>
      <c r="AL17" s="1237"/>
      <c r="AM17" s="1237"/>
    </row>
    <row r="18" spans="1:39" ht="12.95" customHeight="1">
      <c r="B18" s="948"/>
      <c r="C18" s="1608" t="s">
        <v>1267</v>
      </c>
      <c r="D18" s="1608"/>
      <c r="E18" s="1608"/>
      <c r="F18" s="1608"/>
      <c r="G18" s="1608"/>
      <c r="H18" s="1608"/>
      <c r="I18" s="1608"/>
      <c r="J18" s="1608"/>
      <c r="K18" s="1608"/>
      <c r="L18" s="1608"/>
      <c r="M18" s="1608"/>
      <c r="N18" s="1608"/>
      <c r="O18" s="1608"/>
      <c r="P18" s="1608"/>
      <c r="Q18" s="1608"/>
      <c r="R18" s="1608"/>
      <c r="S18" s="1609"/>
      <c r="T18" s="1058"/>
      <c r="U18" s="1059"/>
      <c r="V18" s="1059"/>
      <c r="W18" s="1059"/>
      <c r="X18" s="1060"/>
      <c r="Y18" s="1060"/>
      <c r="Z18" s="1237"/>
      <c r="AA18" s="1237"/>
      <c r="AB18" s="1237"/>
      <c r="AC18" s="1237"/>
      <c r="AD18" s="1237"/>
      <c r="AE18" s="1237"/>
      <c r="AF18" s="1237"/>
      <c r="AG18" s="1237"/>
      <c r="AH18" s="1237"/>
      <c r="AI18" s="1237"/>
      <c r="AJ18" s="1237"/>
      <c r="AK18" s="1237"/>
      <c r="AL18" s="1237"/>
      <c r="AM18" s="1237"/>
    </row>
    <row r="19" spans="1:39" ht="12.95" customHeight="1">
      <c r="B19" s="490"/>
      <c r="C19" s="1608" t="s">
        <v>1267</v>
      </c>
      <c r="D19" s="1608"/>
      <c r="E19" s="1608"/>
      <c r="F19" s="1608"/>
      <c r="G19" s="1608"/>
      <c r="H19" s="1608"/>
      <c r="I19" s="1608"/>
      <c r="J19" s="1608"/>
      <c r="K19" s="1608"/>
      <c r="L19" s="1608"/>
      <c r="M19" s="1608"/>
      <c r="N19" s="1608"/>
      <c r="O19" s="1608"/>
      <c r="P19" s="1608"/>
      <c r="Q19" s="1608"/>
      <c r="R19" s="1608"/>
      <c r="S19" s="1609"/>
      <c r="T19" s="1060"/>
      <c r="U19" s="1237"/>
      <c r="V19" s="1237"/>
      <c r="W19" s="1237"/>
      <c r="X19" s="1237"/>
      <c r="Y19" s="1060"/>
      <c r="Z19" s="1237"/>
      <c r="AA19" s="1237"/>
      <c r="AB19" s="1237"/>
      <c r="AC19" s="1237"/>
      <c r="AD19" s="1237"/>
      <c r="AE19" s="1237"/>
      <c r="AF19" s="1237"/>
      <c r="AG19" s="1237"/>
      <c r="AH19" s="1237"/>
      <c r="AI19" s="1237"/>
      <c r="AJ19" s="1237"/>
      <c r="AK19" s="1237"/>
      <c r="AL19" s="1237"/>
      <c r="AM19" s="1237"/>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08"/>
      <c r="V20" s="1308"/>
      <c r="W20" s="1308"/>
      <c r="X20" s="1308"/>
      <c r="Y20" s="1582">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1782</v>
      </c>
      <c r="C21" s="1090"/>
      <c r="D21" s="1090"/>
      <c r="E21" s="1090"/>
      <c r="F21" s="1090"/>
      <c r="G21" s="1090"/>
      <c r="H21" s="1090"/>
      <c r="I21" s="1090"/>
      <c r="J21" s="1090"/>
      <c r="K21" s="1090"/>
      <c r="L21" s="1090"/>
      <c r="M21" s="1090"/>
      <c r="N21" s="1090"/>
      <c r="O21" s="1090"/>
      <c r="P21" s="1090"/>
      <c r="Q21" s="1090"/>
      <c r="R21" s="1090"/>
      <c r="S21" s="1092"/>
      <c r="T21" s="1060">
        <v>5644988</v>
      </c>
      <c r="U21" s="1237"/>
      <c r="V21" s="1237"/>
      <c r="W21" s="1237"/>
      <c r="X21" s="1237"/>
      <c r="Y21" s="1060"/>
      <c r="Z21" s="1237"/>
      <c r="AA21" s="1237"/>
      <c r="AB21" s="1237"/>
      <c r="AC21" s="1237"/>
      <c r="AD21" s="1060"/>
      <c r="AE21" s="1237"/>
      <c r="AF21" s="1237"/>
      <c r="AG21" s="1237"/>
      <c r="AH21" s="1237"/>
      <c r="AI21" s="1060"/>
      <c r="AJ21" s="1237"/>
      <c r="AK21" s="1237"/>
      <c r="AL21" s="1237"/>
      <c r="AM21" s="1237"/>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7">
        <f>(ABS(T20)+ABS(T21))*-1</f>
        <v>-5644988</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2.95" customHeight="1">
      <c r="B23" s="1089" t="s">
        <v>1995</v>
      </c>
      <c r="C23" s="1090"/>
      <c r="D23" s="1090"/>
      <c r="E23" s="1090"/>
      <c r="F23" s="1090"/>
      <c r="G23" s="1090"/>
      <c r="H23" s="1090"/>
      <c r="I23" s="1090"/>
      <c r="J23" s="1090"/>
      <c r="K23" s="1090"/>
      <c r="L23" s="1090"/>
      <c r="M23" s="1090"/>
      <c r="N23" s="1090"/>
      <c r="O23" s="1090"/>
      <c r="P23" s="1090"/>
      <c r="Q23" s="1090"/>
      <c r="R23" s="1090"/>
      <c r="S23" s="1092"/>
      <c r="T23" s="1582">
        <f>T11+T22</f>
        <v>27777777.945645884</v>
      </c>
      <c r="U23" s="1308"/>
      <c r="V23" s="1308"/>
      <c r="W23" s="1308"/>
      <c r="X23" s="1308"/>
      <c r="Y23" s="1582">
        <f>Y11+Y22</f>
        <v>0</v>
      </c>
      <c r="Z23" s="1308"/>
      <c r="AA23" s="1308"/>
      <c r="AB23" s="1308"/>
      <c r="AC23" s="1308"/>
      <c r="AD23" s="1582">
        <f>IF(AD11=AD21,0,AD11)</f>
        <v>0</v>
      </c>
      <c r="AE23" s="1308"/>
      <c r="AF23" s="1308"/>
      <c r="AG23" s="1308"/>
      <c r="AH23" s="1308"/>
      <c r="AI23" s="1582">
        <f>IF(AI11=AI21,0,AI11)</f>
        <v>0</v>
      </c>
      <c r="AJ23" s="1308"/>
      <c r="AK23" s="1308"/>
      <c r="AL23" s="1308"/>
      <c r="AM23" s="1308"/>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Application!AJ988</f>
        <v>29224049</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1997</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3">
        <f>T23*T25</f>
        <v>27777777.945645884</v>
      </c>
      <c r="U26" s="1594"/>
      <c r="V26" s="1594"/>
      <c r="W26" s="1594"/>
      <c r="X26" s="1594"/>
      <c r="Y26" s="1233">
        <f>Y23*Y25</f>
        <v>0</v>
      </c>
      <c r="Z26" s="1594"/>
      <c r="AA26" s="1594"/>
      <c r="AB26" s="1594"/>
      <c r="AC26" s="1594"/>
      <c r="AD26" s="1233">
        <f>AD23*AD25</f>
        <v>0</v>
      </c>
      <c r="AE26" s="1594"/>
      <c r="AF26" s="1594"/>
      <c r="AG26" s="1594"/>
      <c r="AH26" s="1594"/>
      <c r="AI26" s="1233">
        <f>AI23*AI25</f>
        <v>0</v>
      </c>
      <c r="AJ26" s="1594"/>
      <c r="AK26" s="1594"/>
      <c r="AL26" s="1594"/>
      <c r="AM26" s="1594"/>
    </row>
    <row r="27" spans="1:39" ht="12.95"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3">
        <f>IF(ISERROR((T26*T27)),0,(T26*T27))</f>
        <v>27777777.945645884</v>
      </c>
      <c r="U28" s="1594"/>
      <c r="V28" s="1594"/>
      <c r="W28" s="1594"/>
      <c r="X28" s="1594"/>
      <c r="Y28" s="1233">
        <f>IF(ISERROR((Y26*Y27)),0,(Y26*Y27))</f>
        <v>0</v>
      </c>
      <c r="Z28" s="1594"/>
      <c r="AA28" s="1594"/>
      <c r="AB28" s="1594"/>
      <c r="AC28" s="1594"/>
      <c r="AD28" s="1233">
        <f>IF(ISERROR((AD26*AD27)),0,(AD26*AD27))</f>
        <v>0</v>
      </c>
      <c r="AE28" s="1594"/>
      <c r="AF28" s="1594"/>
      <c r="AG28" s="1594"/>
      <c r="AH28" s="1594"/>
      <c r="AI28" s="1233">
        <f>IF(ISERROR((AI26*AI27)),0,(AI26*AI27))</f>
        <v>0</v>
      </c>
      <c r="AJ28" s="1594"/>
      <c r="AK28" s="1594"/>
      <c r="AL28" s="1594"/>
      <c r="AM28" s="1594"/>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27777777.945645884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599" t="s">
        <v>1996</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5" customHeight="1">
      <c r="B31" s="1577" t="s">
        <v>1998</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3" t="s">
        <v>45</v>
      </c>
      <c r="AE35" s="1223"/>
      <c r="AF35" s="1223"/>
      <c r="AG35" s="1223"/>
      <c r="AH35" s="1223"/>
    </row>
    <row r="36" spans="1:44" ht="12.95" customHeight="1">
      <c r="B36" s="204"/>
      <c r="X36" s="71"/>
      <c r="Y36" s="1585"/>
      <c r="Z36" s="1585"/>
      <c r="AA36" s="1585"/>
      <c r="AB36" s="1585"/>
      <c r="AC36" s="1585"/>
      <c r="AD36" s="1223"/>
      <c r="AE36" s="1223"/>
      <c r="AF36" s="1223"/>
      <c r="AG36" s="1223"/>
      <c r="AH36" s="122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3"/>
      <c r="AE37" s="1223"/>
      <c r="AF37" s="1223"/>
      <c r="AG37" s="1223"/>
      <c r="AH37" s="1223"/>
    </row>
    <row r="38" spans="1:44"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27777777.945645884</v>
      </c>
      <c r="Z38" s="1308"/>
      <c r="AA38" s="1308"/>
      <c r="AB38" s="1308"/>
      <c r="AC38" s="1308"/>
      <c r="AD38" s="1308">
        <f>IF(T24&gt;=(T23+Y23+AD23+AI23),AD28+AI28,0)</f>
        <v>0</v>
      </c>
      <c r="AE38" s="1308"/>
      <c r="AF38" s="1308"/>
      <c r="AG38" s="1308"/>
      <c r="AH38" s="1308"/>
    </row>
    <row r="39" spans="1:44" ht="12.95" customHeight="1">
      <c r="B39" s="1089" t="s">
        <v>1889</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1">
        <v>0.09</v>
      </c>
      <c r="Z39" s="1581"/>
      <c r="AA39" s="1581"/>
      <c r="AB39" s="1581"/>
      <c r="AC39" s="1581"/>
      <c r="AD39" s="1581">
        <v>0.04</v>
      </c>
      <c r="AE39" s="1581"/>
      <c r="AF39" s="1581"/>
      <c r="AG39" s="1581"/>
      <c r="AH39" s="1581"/>
    </row>
    <row r="40" spans="1:44"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2500000</v>
      </c>
      <c r="Z40" s="1308"/>
      <c r="AA40" s="1308"/>
      <c r="AB40" s="1308"/>
      <c r="AC40" s="1308"/>
      <c r="AD40" s="1582">
        <f>ROUND(AD38*AD39,0)</f>
        <v>0</v>
      </c>
      <c r="AE40" s="1308"/>
      <c r="AF40" s="1308"/>
      <c r="AG40" s="1308"/>
      <c r="AH40" s="1308"/>
    </row>
    <row r="41" spans="1:44"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IF(Application!Y211="No",'Basis &amp; Credits'!AR42,AR43)</f>
        <v>2500000</v>
      </c>
      <c r="Z41" s="1584"/>
      <c r="AA41" s="1584"/>
      <c r="AB41" s="1584"/>
      <c r="AC41" s="1584"/>
      <c r="AD41" s="1584"/>
      <c r="AE41" s="1584"/>
      <c r="AF41" s="1584"/>
      <c r="AG41" s="1584"/>
      <c r="AH41" s="1582"/>
    </row>
    <row r="42" spans="1:44" ht="12.95" customHeight="1">
      <c r="A42" s="3"/>
      <c r="B42" s="1593" t="s">
        <v>1890</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8">
        <f>'Sources and Uses Budget'!B104-(MAX(IF('Sources and Uses Budget'!B15="",0,'Sources and Uses Budget'!B15),IF(Application!AG387="",0,Application!AG387)))</f>
        <v>37867644.370363191</v>
      </c>
      <c r="AC46" s="1149"/>
      <c r="AD46" s="1149"/>
      <c r="AE46" s="1149"/>
      <c r="AF46" s="1150"/>
    </row>
    <row r="47" spans="1:44" ht="12.95" customHeight="1">
      <c r="D47" s="3" t="s">
        <v>876</v>
      </c>
      <c r="AB47" s="1148">
        <f>Application!AO630-MAX(IF('Sources and Uses Budget'!B15="",0,'Sources and Uses Budget'!B15),IF(Application!AG387="",0,Application!AG387))</f>
        <v>13221783.7588105</v>
      </c>
      <c r="AC47" s="1149"/>
      <c r="AD47" s="1149"/>
      <c r="AE47" s="1149"/>
      <c r="AF47" s="1150"/>
    </row>
    <row r="48" spans="1:44" ht="12.95" customHeight="1">
      <c r="D48" s="3" t="s">
        <v>402</v>
      </c>
      <c r="AB48" s="1148">
        <f>AB46-AB47</f>
        <v>24645860.611552693</v>
      </c>
      <c r="AC48" s="1149"/>
      <c r="AD48" s="1149"/>
      <c r="AE48" s="1149"/>
      <c r="AF48" s="1150"/>
    </row>
    <row r="49" spans="1:40" ht="12.95" customHeight="1">
      <c r="D49" s="3" t="s">
        <v>911</v>
      </c>
      <c r="AA49" s="34"/>
      <c r="AB49" s="1588">
        <f>+[1]EVERYTHING!$G$120</f>
        <v>0.92183999999999999</v>
      </c>
      <c r="AC49" s="1589"/>
      <c r="AD49" s="1589"/>
      <c r="AE49" s="1589"/>
      <c r="AF49" s="1590"/>
    </row>
    <row r="50" spans="1:40" s="324" customFormat="1" ht="12.95" customHeight="1">
      <c r="A50"/>
      <c r="B50"/>
      <c r="C50"/>
      <c r="D50"/>
      <c r="E50" s="1598" t="s">
        <v>2045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26735508</v>
      </c>
      <c r="AC53" s="1149"/>
      <c r="AD53" s="1149"/>
      <c r="AE53" s="1149"/>
      <c r="AF53" s="1150"/>
    </row>
    <row r="54" spans="1:40" ht="12.95" customHeight="1">
      <c r="D54" s="3" t="s">
        <v>590</v>
      </c>
      <c r="AB54" s="1148">
        <f>(AB53/10)</f>
        <v>2673550.7999999998</v>
      </c>
      <c r="AC54" s="1149"/>
      <c r="AD54" s="1149"/>
      <c r="AE54" s="1149"/>
      <c r="AF54" s="1150"/>
    </row>
    <row r="55" spans="1:40" ht="12.95" customHeight="1">
      <c r="D55" s="3" t="s">
        <v>361</v>
      </c>
      <c r="AB55" s="1595">
        <f>(IF((Y41&lt;AB54),Y41,AB54))</f>
        <v>2500000</v>
      </c>
      <c r="AC55" s="1596"/>
      <c r="AD55" s="1596"/>
      <c r="AE55" s="1596"/>
      <c r="AF55" s="1597"/>
    </row>
    <row r="56" spans="1:40" ht="12.95" customHeight="1">
      <c r="D56" s="3" t="s">
        <v>115</v>
      </c>
      <c r="AB56" s="1148">
        <f>ROUND((10*AB55*AB49),0)</f>
        <v>23046000</v>
      </c>
      <c r="AC56" s="1149"/>
      <c r="AD56" s="1149"/>
      <c r="AE56" s="1149"/>
      <c r="AF56" s="1150"/>
    </row>
    <row r="57" spans="1:40" ht="12.95" customHeight="1">
      <c r="D57" s="3"/>
      <c r="AB57" s="276"/>
      <c r="AC57" s="276"/>
      <c r="AD57" s="276"/>
      <c r="AE57" s="276"/>
      <c r="AF57" s="276"/>
    </row>
    <row r="58" spans="1:40" ht="12.95" customHeight="1">
      <c r="D58" s="3" t="s">
        <v>114</v>
      </c>
      <c r="AB58" s="1154">
        <f>AB48-AB56</f>
        <v>1599860.6115526929</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27777777.945645884</v>
      </c>
      <c r="Z63" s="1591"/>
      <c r="AA63" s="1591"/>
      <c r="AB63" s="1591"/>
      <c r="AC63" s="1591"/>
      <c r="AD63" s="1308">
        <f>IF(AND(T25=1.3,Application!D214="At-Risk"),AI28,IF(Application!D214&lt;&gt;"At-Risk",0,AD28))</f>
        <v>0</v>
      </c>
      <c r="AE63" s="1591"/>
      <c r="AF63" s="1591"/>
      <c r="AG63" s="1591"/>
      <c r="AH63" s="1591"/>
    </row>
    <row r="64" spans="1:40" ht="12.95"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2.95" customHeight="1">
      <c r="C67" s="3"/>
      <c r="D67" s="3" t="s">
        <v>983</v>
      </c>
      <c r="Y67" s="1308">
        <f>ROUND(Y63*Y66,0)</f>
        <v>8333333</v>
      </c>
      <c r="Z67" s="1591"/>
      <c r="AA67" s="1591"/>
      <c r="AB67" s="1591"/>
      <c r="AC67" s="1591"/>
      <c r="AD67" s="1308" t="str">
        <f>IF(OR(Application!D211="At-Risk",Application!D211="At-Risk/Located in Rural Census Tract",Application!D214="At-Risk"),ROUND(AD63*AD66,0),"$0")</f>
        <v>$0</v>
      </c>
      <c r="AE67" s="1308"/>
      <c r="AF67" s="1308"/>
      <c r="AG67" s="1308"/>
      <c r="AH67" s="1308"/>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88">
        <f>+[1]EVERYTHING!$D$126</f>
        <v>0.8</v>
      </c>
      <c r="AC70" s="1589"/>
      <c r="AD70" s="1589"/>
      <c r="AE70" s="1589"/>
      <c r="AF70" s="1590"/>
    </row>
    <row r="71" spans="1:34" ht="12.95"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1999826</v>
      </c>
      <c r="AC75" s="1215"/>
      <c r="AD75" s="1215"/>
      <c r="AE75" s="1215"/>
      <c r="AF75" s="1215"/>
    </row>
    <row r="76" spans="1:34" ht="12.95" customHeight="1">
      <c r="C76" s="3"/>
      <c r="D76" s="3" t="s">
        <v>113</v>
      </c>
      <c r="AB76" s="1210">
        <f>IF((Y67+AD67&lt;AB75),Y67+AD67,AB75)</f>
        <v>1999826</v>
      </c>
      <c r="AC76" s="1211"/>
      <c r="AD76" s="1211"/>
      <c r="AE76" s="1211"/>
      <c r="AF76" s="1212"/>
    </row>
    <row r="77" spans="1:34" ht="12.95" customHeight="1">
      <c r="C77" s="3"/>
      <c r="D77" s="3" t="s">
        <v>984</v>
      </c>
      <c r="AB77" s="1586">
        <f>AB76*AB70</f>
        <v>1599860.8</v>
      </c>
      <c r="AC77" s="1586"/>
      <c r="AD77" s="1586"/>
      <c r="AE77" s="1586"/>
      <c r="AF77" s="1586"/>
    </row>
    <row r="78" spans="1:34" ht="12.95" customHeight="1">
      <c r="C78" s="3"/>
      <c r="D78" s="3"/>
      <c r="AB78" s="605"/>
      <c r="AC78" s="605"/>
      <c r="AD78" s="605"/>
      <c r="AE78" s="605"/>
      <c r="AF78" s="605"/>
    </row>
    <row r="79" spans="1:34" ht="12.95" customHeight="1">
      <c r="D79" s="3" t="s">
        <v>114</v>
      </c>
      <c r="AB79" s="1154">
        <f>AB48-(AB56+AB77)</f>
        <v>-0.18844730779528618</v>
      </c>
      <c r="AC79" s="1154"/>
      <c r="AD79" s="1154"/>
      <c r="AE79" s="1154"/>
      <c r="AF79" s="1154"/>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85" sqref="C85"/>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1897</v>
      </c>
      <c r="B1" s="1631"/>
      <c r="C1" s="1631"/>
      <c r="D1" s="1631"/>
      <c r="E1" s="1631"/>
      <c r="F1" s="1631"/>
      <c r="G1" s="1631"/>
      <c r="H1" s="1631"/>
      <c r="I1" s="1631"/>
      <c r="J1" s="1632"/>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1424079</v>
      </c>
      <c r="C4" s="592">
        <f>+B4</f>
        <v>1424079</v>
      </c>
      <c r="D4" s="592"/>
      <c r="E4" s="593"/>
      <c r="F4" s="593"/>
      <c r="G4" s="593"/>
      <c r="H4" s="593"/>
      <c r="I4" s="593"/>
      <c r="J4" s="593"/>
      <c r="K4" s="586"/>
    </row>
    <row r="5" spans="1:11" s="253" customFormat="1" ht="13.5">
      <c r="A5" s="300" t="s">
        <v>73</v>
      </c>
      <c r="B5" s="591">
        <f>'Sources and Uses Budget'!C5</f>
        <v>285000</v>
      </c>
      <c r="C5" s="592">
        <f t="shared" ref="C5:C7" si="0">+B5</f>
        <v>285000</v>
      </c>
      <c r="D5" s="592"/>
      <c r="E5" s="593"/>
      <c r="F5" s="593"/>
      <c r="G5" s="593"/>
      <c r="H5" s="593"/>
      <c r="I5" s="593"/>
      <c r="J5" s="593"/>
      <c r="K5" s="586"/>
    </row>
    <row r="6" spans="1:11" s="253" customFormat="1">
      <c r="A6" s="239" t="s">
        <v>364</v>
      </c>
      <c r="B6" s="591">
        <f>'Sources and Uses Budget'!C6</f>
        <v>30000</v>
      </c>
      <c r="C6" s="592">
        <f t="shared" si="0"/>
        <v>30000</v>
      </c>
      <c r="D6" s="592"/>
      <c r="E6" s="593"/>
      <c r="F6" s="593"/>
      <c r="G6" s="593"/>
      <c r="H6" s="593"/>
      <c r="I6" s="593"/>
      <c r="J6" s="593"/>
      <c r="K6" s="586"/>
    </row>
    <row r="7" spans="1:11" s="253" customFormat="1">
      <c r="A7" s="239" t="s">
        <v>296</v>
      </c>
      <c r="B7" s="591">
        <f>'Sources and Uses Budget'!C7</f>
        <v>0</v>
      </c>
      <c r="C7" s="592">
        <f t="shared" si="0"/>
        <v>0</v>
      </c>
      <c r="D7" s="592"/>
      <c r="E7" s="593"/>
      <c r="F7" s="593"/>
      <c r="G7" s="593"/>
      <c r="H7" s="593"/>
      <c r="I7" s="593"/>
      <c r="J7" s="593"/>
      <c r="K7" s="586"/>
    </row>
    <row r="8" spans="1:11" s="253" customFormat="1" ht="13.5">
      <c r="A8" s="301" t="s">
        <v>738</v>
      </c>
      <c r="B8" s="591">
        <f>'Sources and Uses Budget'!C8</f>
        <v>1739079</v>
      </c>
      <c r="C8" s="591">
        <f>SUM(C4:C7)</f>
        <v>1739079</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f>+B10</f>
        <v>0</v>
      </c>
      <c r="D10" s="592"/>
      <c r="E10" s="591">
        <f>'Sources and Uses Budget'!S10</f>
        <v>0</v>
      </c>
      <c r="F10" s="592">
        <f>+E10</f>
        <v>0</v>
      </c>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1739079</v>
      </c>
      <c r="C12" s="591">
        <f>SUM(C8+C11)</f>
        <v>1739079</v>
      </c>
      <c r="D12" s="591">
        <f>SUM(D8+D11)</f>
        <v>0</v>
      </c>
      <c r="E12" s="593"/>
      <c r="F12" s="593"/>
      <c r="G12" s="593"/>
      <c r="H12" s="593"/>
      <c r="I12" s="593"/>
      <c r="J12" s="593"/>
      <c r="K12" s="586"/>
    </row>
    <row r="13" spans="1:11" s="253" customFormat="1">
      <c r="A13" s="461" t="s">
        <v>1155</v>
      </c>
      <c r="B13" s="591">
        <f>'Sources and Uses Budget'!C13</f>
        <v>60796</v>
      </c>
      <c r="C13" s="592">
        <f>+B13</f>
        <v>60796</v>
      </c>
      <c r="D13" s="592"/>
      <c r="E13" s="591">
        <f>'Sources and Uses Budget'!S13</f>
        <v>60796</v>
      </c>
      <c r="F13" s="592">
        <f>+E13</f>
        <v>60796</v>
      </c>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892748</v>
      </c>
      <c r="C28" s="592">
        <f>+B28</f>
        <v>892748</v>
      </c>
      <c r="D28" s="592"/>
      <c r="E28" s="591">
        <f>'Sources and Uses Budget'!S29</f>
        <v>710748</v>
      </c>
      <c r="F28" s="592">
        <f>+E28</f>
        <v>710748</v>
      </c>
      <c r="G28" s="592"/>
      <c r="H28" s="591">
        <f>'Sources and Uses Budget'!T29</f>
        <v>0</v>
      </c>
      <c r="I28" s="592"/>
      <c r="J28" s="592"/>
      <c r="K28" s="586"/>
    </row>
    <row r="29" spans="1:11" s="253" customFormat="1">
      <c r="A29" s="239" t="s">
        <v>953</v>
      </c>
      <c r="B29" s="591">
        <f>'Sources and Uses Budget'!C30</f>
        <v>19512384</v>
      </c>
      <c r="C29" s="592">
        <f t="shared" ref="C29:C36" si="1">+B29</f>
        <v>19512384</v>
      </c>
      <c r="D29" s="592"/>
      <c r="E29" s="591">
        <f>'Sources and Uses Budget'!S30</f>
        <v>19512384</v>
      </c>
      <c r="F29" s="592">
        <f t="shared" ref="F29:F36" si="2">+E29</f>
        <v>19512384</v>
      </c>
      <c r="G29" s="592"/>
      <c r="H29" s="591">
        <f>'Sources and Uses Budget'!T30</f>
        <v>0</v>
      </c>
      <c r="I29" s="592"/>
      <c r="J29" s="592"/>
      <c r="K29" s="586"/>
    </row>
    <row r="30" spans="1:11" s="253" customFormat="1">
      <c r="A30" s="239" t="s">
        <v>954</v>
      </c>
      <c r="B30" s="591">
        <f>'Sources and Uses Budget'!C31</f>
        <v>1245764</v>
      </c>
      <c r="C30" s="592">
        <f t="shared" si="1"/>
        <v>1245764</v>
      </c>
      <c r="D30" s="592"/>
      <c r="E30" s="591">
        <f>'Sources and Uses Budget'!S31</f>
        <v>1245764</v>
      </c>
      <c r="F30" s="592">
        <f t="shared" si="2"/>
        <v>1245764</v>
      </c>
      <c r="G30" s="592"/>
      <c r="H30" s="591">
        <f>'Sources and Uses Budget'!T31</f>
        <v>0</v>
      </c>
      <c r="I30" s="592"/>
      <c r="J30" s="592"/>
      <c r="K30" s="586"/>
    </row>
    <row r="31" spans="1:11" s="253" customFormat="1">
      <c r="A31" s="239" t="s">
        <v>955</v>
      </c>
      <c r="B31" s="591">
        <f>'Sources and Uses Budget'!C32</f>
        <v>691652</v>
      </c>
      <c r="C31" s="592">
        <f t="shared" si="1"/>
        <v>691652</v>
      </c>
      <c r="D31" s="592"/>
      <c r="E31" s="591">
        <f>'Sources and Uses Budget'!S32</f>
        <v>691652</v>
      </c>
      <c r="F31" s="592">
        <f t="shared" si="2"/>
        <v>691652</v>
      </c>
      <c r="G31" s="592"/>
      <c r="H31" s="591">
        <f>'Sources and Uses Budget'!T32</f>
        <v>0</v>
      </c>
      <c r="I31" s="592"/>
      <c r="J31" s="592"/>
      <c r="K31" s="586"/>
    </row>
    <row r="32" spans="1:11" s="253" customFormat="1">
      <c r="A32" s="239" t="s">
        <v>956</v>
      </c>
      <c r="B32" s="591">
        <f>'Sources and Uses Budget'!C33</f>
        <v>691652</v>
      </c>
      <c r="C32" s="592">
        <f t="shared" si="1"/>
        <v>691652</v>
      </c>
      <c r="D32" s="592"/>
      <c r="E32" s="591">
        <f>'Sources and Uses Budget'!S33</f>
        <v>691652</v>
      </c>
      <c r="F32" s="592">
        <f t="shared" si="2"/>
        <v>691652</v>
      </c>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502800</v>
      </c>
      <c r="C34" s="592">
        <f t="shared" si="1"/>
        <v>502800</v>
      </c>
      <c r="D34" s="592"/>
      <c r="E34" s="591">
        <f>'Sources and Uses Budget'!S35</f>
        <v>502800</v>
      </c>
      <c r="F34" s="592">
        <f t="shared" si="2"/>
        <v>502800</v>
      </c>
      <c r="G34" s="592"/>
      <c r="H34" s="591">
        <f>'Sources and Uses Budget'!T35</f>
        <v>0</v>
      </c>
      <c r="I34" s="592"/>
      <c r="J34" s="592"/>
      <c r="K34" s="586"/>
    </row>
    <row r="35" spans="1:11" s="253" customFormat="1">
      <c r="A35" s="239" t="str">
        <f>'Sources and Uses Budget'!$A36</f>
        <v>Third-party Construction Management</v>
      </c>
      <c r="B35" s="591">
        <f>'Sources and Uses Budget'!C36</f>
        <v>82080</v>
      </c>
      <c r="C35" s="592">
        <f t="shared" si="1"/>
        <v>82080</v>
      </c>
      <c r="D35" s="592"/>
      <c r="E35" s="591">
        <f>'Sources and Uses Budget'!S36</f>
        <v>82080</v>
      </c>
      <c r="F35" s="592">
        <f t="shared" si="2"/>
        <v>82080</v>
      </c>
      <c r="G35" s="592"/>
      <c r="H35" s="591">
        <f>'Sources and Uses Budget'!T36</f>
        <v>0</v>
      </c>
      <c r="I35" s="592"/>
      <c r="J35" s="592"/>
      <c r="K35" s="586"/>
    </row>
    <row r="36" spans="1:11" s="253" customFormat="1">
      <c r="A36" s="239" t="str">
        <f>'Sources and Uses Budget'!$A37</f>
        <v>Other: Solar &amp; Battery Storage</v>
      </c>
      <c r="B36" s="591">
        <f>'Sources and Uses Budget'!C37</f>
        <v>170818</v>
      </c>
      <c r="C36" s="592">
        <f t="shared" si="1"/>
        <v>170818</v>
      </c>
      <c r="D36" s="592"/>
      <c r="E36" s="591">
        <f>'Sources and Uses Budget'!S37</f>
        <v>170818</v>
      </c>
      <c r="F36" s="592">
        <f t="shared" si="2"/>
        <v>170818</v>
      </c>
      <c r="G36" s="592"/>
      <c r="H36" s="591">
        <f>'Sources and Uses Budget'!T37</f>
        <v>0</v>
      </c>
      <c r="I36" s="592"/>
      <c r="J36" s="592"/>
      <c r="K36" s="586"/>
    </row>
    <row r="37" spans="1:11" s="253" customFormat="1">
      <c r="A37" s="243" t="s">
        <v>961</v>
      </c>
      <c r="B37" s="591">
        <f>'Sources and Uses Budget'!C38</f>
        <v>23789898</v>
      </c>
      <c r="C37" s="591">
        <f>SUM(C28:C36)</f>
        <v>23789898</v>
      </c>
      <c r="D37" s="591">
        <f>SUM(D28:D36)</f>
        <v>0</v>
      </c>
      <c r="E37" s="591">
        <f>'Sources and Uses Budget'!S38</f>
        <v>23607898</v>
      </c>
      <c r="F37" s="594">
        <f>SUM(F28:F36)</f>
        <v>23607898</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401120</v>
      </c>
      <c r="C39" s="592">
        <f>+B39</f>
        <v>401120</v>
      </c>
      <c r="D39" s="592"/>
      <c r="E39" s="591">
        <f>'Sources and Uses Budget'!S40</f>
        <v>401120</v>
      </c>
      <c r="F39" s="592">
        <f>+E39</f>
        <v>401120</v>
      </c>
      <c r="G39" s="592"/>
      <c r="H39" s="591">
        <f>'Sources and Uses Budget'!T40</f>
        <v>0</v>
      </c>
      <c r="I39" s="592"/>
      <c r="J39" s="592"/>
      <c r="K39" s="586"/>
    </row>
    <row r="40" spans="1:11" s="253" customFormat="1">
      <c r="A40" s="239" t="s">
        <v>964</v>
      </c>
      <c r="B40" s="591">
        <f>'Sources and Uses Budget'!C41</f>
        <v>221870</v>
      </c>
      <c r="C40" s="592">
        <f>+B40</f>
        <v>221870</v>
      </c>
      <c r="D40" s="592"/>
      <c r="E40" s="591">
        <f>'Sources and Uses Budget'!S41</f>
        <v>221870</v>
      </c>
      <c r="F40" s="592">
        <f>+E40</f>
        <v>221870</v>
      </c>
      <c r="G40" s="592"/>
      <c r="H40" s="591">
        <f>'Sources and Uses Budget'!T41</f>
        <v>0</v>
      </c>
      <c r="I40" s="592"/>
      <c r="J40" s="592"/>
      <c r="K40" s="586"/>
    </row>
    <row r="41" spans="1:11" s="253" customFormat="1">
      <c r="A41" s="243" t="s">
        <v>965</v>
      </c>
      <c r="B41" s="591">
        <f>'Sources and Uses Budget'!C42</f>
        <v>622990</v>
      </c>
      <c r="C41" s="591">
        <f>SUM(C38:C40)</f>
        <v>622990</v>
      </c>
      <c r="D41" s="591">
        <f>SUM(D38:D40)</f>
        <v>0</v>
      </c>
      <c r="E41" s="591">
        <f>'Sources and Uses Budget'!S42</f>
        <v>622990</v>
      </c>
      <c r="F41" s="594">
        <f>SUM(F39:F40)</f>
        <v>622990</v>
      </c>
      <c r="G41" s="594">
        <f>SUM(G39:G40)</f>
        <v>0</v>
      </c>
      <c r="H41" s="591">
        <f>'Sources and Uses Budget'!T42</f>
        <v>0</v>
      </c>
      <c r="I41" s="594">
        <f>SUM(I39:I40)</f>
        <v>0</v>
      </c>
      <c r="J41" s="594">
        <f>SUM(J39:J40)</f>
        <v>0</v>
      </c>
      <c r="K41" s="586"/>
    </row>
    <row r="42" spans="1:11" s="253" customFormat="1">
      <c r="A42" s="243" t="s">
        <v>966</v>
      </c>
      <c r="B42" s="591">
        <f>'Sources and Uses Budget'!C43</f>
        <v>470302</v>
      </c>
      <c r="C42" s="592">
        <f>+B42</f>
        <v>470302</v>
      </c>
      <c r="D42" s="592"/>
      <c r="E42" s="591">
        <f>'Sources and Uses Budget'!S43</f>
        <v>470302</v>
      </c>
      <c r="F42" s="592">
        <f>+E42</f>
        <v>470302</v>
      </c>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2320063.8340486838</v>
      </c>
      <c r="C44" s="592">
        <f>+B44</f>
        <v>2320063.8340486838</v>
      </c>
      <c r="D44" s="592"/>
      <c r="E44" s="591">
        <f>'Sources and Uses Budget'!S45</f>
        <v>1359090.6483480458</v>
      </c>
      <c r="F44" s="592">
        <f>+E44</f>
        <v>1359090.6483480458</v>
      </c>
      <c r="G44" s="592"/>
      <c r="H44" s="591">
        <f>'Sources and Uses Budget'!T45</f>
        <v>0</v>
      </c>
      <c r="I44" s="592"/>
      <c r="J44" s="592"/>
      <c r="K44" s="586"/>
    </row>
    <row r="45" spans="1:11" s="253" customFormat="1">
      <c r="A45" s="239" t="s">
        <v>969</v>
      </c>
      <c r="B45" s="591">
        <f>'Sources and Uses Budget'!C46</f>
        <v>257565.49729783702</v>
      </c>
      <c r="C45" s="592">
        <f t="shared" ref="C45:C51" si="3">+B45</f>
        <v>257565.49729783702</v>
      </c>
      <c r="D45" s="592"/>
      <c r="E45" s="591">
        <f>'Sources and Uses Budget'!S46</f>
        <v>257565.49729783702</v>
      </c>
      <c r="F45" s="592">
        <f t="shared" ref="F45:F51" si="4">+E45</f>
        <v>257565.49729783702</v>
      </c>
      <c r="G45" s="592"/>
      <c r="H45" s="591">
        <f>'Sources and Uses Budget'!T46</f>
        <v>0</v>
      </c>
      <c r="I45" s="592"/>
      <c r="J45" s="592"/>
      <c r="K45" s="586"/>
    </row>
    <row r="46" spans="1:11" s="253" customFormat="1" ht="12" customHeight="1">
      <c r="A46" s="239" t="s">
        <v>970</v>
      </c>
      <c r="B46" s="591">
        <f>'Sources and Uses Budget'!C47</f>
        <v>0</v>
      </c>
      <c r="C46" s="592">
        <f t="shared" si="3"/>
        <v>0</v>
      </c>
      <c r="D46" s="592"/>
      <c r="E46" s="591">
        <f>'Sources and Uses Budget'!S47</f>
        <v>0</v>
      </c>
      <c r="F46" s="592">
        <f t="shared" si="4"/>
        <v>0</v>
      </c>
      <c r="G46" s="592"/>
      <c r="H46" s="591">
        <f>'Sources and Uses Budget'!T47</f>
        <v>0</v>
      </c>
      <c r="I46" s="592"/>
      <c r="J46" s="592"/>
      <c r="K46" s="586"/>
    </row>
    <row r="47" spans="1:11" s="253" customFormat="1">
      <c r="A47" s="239" t="s">
        <v>971</v>
      </c>
      <c r="B47" s="591">
        <f>'Sources and Uses Budget'!C48</f>
        <v>0</v>
      </c>
      <c r="C47" s="592">
        <f t="shared" si="3"/>
        <v>0</v>
      </c>
      <c r="D47" s="592"/>
      <c r="E47" s="591">
        <f>'Sources and Uses Budget'!S48</f>
        <v>0</v>
      </c>
      <c r="F47" s="592">
        <f t="shared" si="4"/>
        <v>0</v>
      </c>
      <c r="G47" s="592"/>
      <c r="H47" s="591">
        <f>'Sources and Uses Budget'!T48</f>
        <v>0</v>
      </c>
      <c r="I47" s="592"/>
      <c r="J47" s="592"/>
      <c r="K47" s="586"/>
    </row>
    <row r="48" spans="1:11" s="253" customFormat="1">
      <c r="A48" s="239" t="s">
        <v>974</v>
      </c>
      <c r="B48" s="591">
        <f>'Sources and Uses Budget'!C49</f>
        <v>65000</v>
      </c>
      <c r="C48" s="592">
        <f t="shared" si="3"/>
        <v>65000</v>
      </c>
      <c r="D48" s="592"/>
      <c r="E48" s="591">
        <f>'Sources and Uses Budget'!S49</f>
        <v>65000</v>
      </c>
      <c r="F48" s="592">
        <f t="shared" si="4"/>
        <v>65000</v>
      </c>
      <c r="G48" s="592"/>
      <c r="H48" s="591">
        <f>'Sources and Uses Budget'!T49</f>
        <v>0</v>
      </c>
      <c r="I48" s="592"/>
      <c r="J48" s="592"/>
      <c r="K48" s="586"/>
    </row>
    <row r="49" spans="1:11" s="253" customFormat="1">
      <c r="A49" s="239" t="s">
        <v>972</v>
      </c>
      <c r="B49" s="591">
        <f>'Sources and Uses Budget'!C50</f>
        <v>0</v>
      </c>
      <c r="C49" s="592">
        <f t="shared" si="3"/>
        <v>0</v>
      </c>
      <c r="D49" s="592"/>
      <c r="E49" s="591">
        <f>'Sources and Uses Budget'!S50</f>
        <v>0</v>
      </c>
      <c r="F49" s="592">
        <f t="shared" si="4"/>
        <v>0</v>
      </c>
      <c r="G49" s="592"/>
      <c r="H49" s="591">
        <f>'Sources and Uses Budget'!T50</f>
        <v>0</v>
      </c>
      <c r="I49" s="592"/>
      <c r="J49" s="592"/>
      <c r="K49" s="586"/>
    </row>
    <row r="50" spans="1:11" s="253" customFormat="1">
      <c r="A50" s="239" t="s">
        <v>973</v>
      </c>
      <c r="B50" s="591">
        <f>'Sources and Uses Budget'!C51</f>
        <v>839136</v>
      </c>
      <c r="C50" s="592">
        <f t="shared" si="3"/>
        <v>839136</v>
      </c>
      <c r="D50" s="592"/>
      <c r="E50" s="591">
        <f>'Sources and Uses Budget'!S51</f>
        <v>839136</v>
      </c>
      <c r="F50" s="592">
        <f t="shared" si="4"/>
        <v>839136</v>
      </c>
      <c r="G50" s="592"/>
      <c r="H50" s="591">
        <f>'Sources and Uses Budget'!T51</f>
        <v>0</v>
      </c>
      <c r="I50" s="592"/>
      <c r="J50" s="592"/>
      <c r="K50" s="586"/>
    </row>
    <row r="51" spans="1:11" s="253" customFormat="1">
      <c r="A51" s="239" t="str">
        <f>'Sources and Uses Budget'!$A52</f>
        <v>Other: (Specify)</v>
      </c>
      <c r="B51" s="591">
        <f>'Sources and Uses Budget'!C52</f>
        <v>0</v>
      </c>
      <c r="C51" s="592">
        <f t="shared" si="3"/>
        <v>0</v>
      </c>
      <c r="D51" s="592"/>
      <c r="E51" s="591">
        <f>'Sources and Uses Budget'!S52</f>
        <v>0</v>
      </c>
      <c r="F51" s="592">
        <f t="shared" si="4"/>
        <v>0</v>
      </c>
      <c r="G51" s="592"/>
      <c r="H51" s="591">
        <f>'Sources and Uses Budget'!T52</f>
        <v>0</v>
      </c>
      <c r="I51" s="592"/>
      <c r="J51" s="592"/>
      <c r="K51" s="586"/>
    </row>
    <row r="52" spans="1:11" s="584" customFormat="1">
      <c r="A52" s="243" t="s">
        <v>975</v>
      </c>
      <c r="B52" s="591">
        <f>'Sources and Uses Budget'!C53</f>
        <v>3481765.3313465207</v>
      </c>
      <c r="C52" s="594">
        <f>SUM(C44:C51)</f>
        <v>3481765.3313465207</v>
      </c>
      <c r="D52" s="594">
        <f>SUM(D44:D51)</f>
        <v>0</v>
      </c>
      <c r="E52" s="591">
        <f>'Sources and Uses Budget'!S53</f>
        <v>2520792.1456458829</v>
      </c>
      <c r="F52" s="594">
        <f>SUM(F44:F51)</f>
        <v>2520792.1456458829</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30316.667588104996</v>
      </c>
      <c r="C54" s="592">
        <f>+B54</f>
        <v>30316.667588104996</v>
      </c>
      <c r="D54" s="592"/>
      <c r="E54" s="593"/>
      <c r="F54" s="593"/>
      <c r="G54" s="593"/>
      <c r="H54" s="593"/>
      <c r="I54" s="593"/>
      <c r="J54" s="593"/>
      <c r="K54" s="586"/>
    </row>
    <row r="55" spans="1:11" s="253" customFormat="1" ht="12" customHeight="1">
      <c r="A55" s="239" t="s">
        <v>970</v>
      </c>
      <c r="B55" s="591">
        <f>'Sources and Uses Budget'!C56</f>
        <v>0</v>
      </c>
      <c r="C55" s="592">
        <f t="shared" ref="C55:C59" si="5">+B55</f>
        <v>0</v>
      </c>
      <c r="D55" s="592"/>
      <c r="E55" s="593"/>
      <c r="F55" s="593"/>
      <c r="G55" s="593"/>
      <c r="H55" s="593"/>
      <c r="I55" s="593"/>
      <c r="J55" s="593"/>
      <c r="K55" s="586"/>
    </row>
    <row r="56" spans="1:11" s="253" customFormat="1">
      <c r="A56" s="239" t="s">
        <v>974</v>
      </c>
      <c r="B56" s="591">
        <f>'Sources and Uses Budget'!C57</f>
        <v>20000</v>
      </c>
      <c r="C56" s="592">
        <f t="shared" si="5"/>
        <v>20000</v>
      </c>
      <c r="D56" s="592"/>
      <c r="E56" s="593"/>
      <c r="F56" s="593"/>
      <c r="G56" s="593"/>
      <c r="H56" s="593"/>
      <c r="I56" s="593"/>
      <c r="J56" s="593"/>
      <c r="K56" s="586"/>
    </row>
    <row r="57" spans="1:11" s="253" customFormat="1">
      <c r="A57" s="239" t="s">
        <v>972</v>
      </c>
      <c r="B57" s="591">
        <f>'Sources and Uses Budget'!C58</f>
        <v>0</v>
      </c>
      <c r="C57" s="592">
        <f t="shared" si="5"/>
        <v>0</v>
      </c>
      <c r="D57" s="592"/>
      <c r="E57" s="593"/>
      <c r="F57" s="593"/>
      <c r="G57" s="593"/>
      <c r="H57" s="593"/>
      <c r="I57" s="593"/>
      <c r="J57" s="593"/>
      <c r="K57" s="586"/>
    </row>
    <row r="58" spans="1:11" s="253" customFormat="1">
      <c r="A58" s="239" t="s">
        <v>973</v>
      </c>
      <c r="B58" s="591">
        <f>'Sources and Uses Budget'!C59</f>
        <v>0</v>
      </c>
      <c r="C58" s="592">
        <f t="shared" si="5"/>
        <v>0</v>
      </c>
      <c r="D58" s="592"/>
      <c r="E58" s="593"/>
      <c r="F58" s="593"/>
      <c r="G58" s="593"/>
      <c r="H58" s="593"/>
      <c r="I58" s="593"/>
      <c r="J58" s="593"/>
      <c r="K58" s="586"/>
    </row>
    <row r="59" spans="1:11" s="253" customFormat="1">
      <c r="A59" s="239" t="str">
        <f>'Sources and Uses Budget'!$A60</f>
        <v xml:space="preserve">Other: Perm Loan Legal </v>
      </c>
      <c r="B59" s="591">
        <f>'Sources and Uses Budget'!C60</f>
        <v>20000</v>
      </c>
      <c r="C59" s="592">
        <f t="shared" si="5"/>
        <v>20000</v>
      </c>
      <c r="D59" s="592"/>
      <c r="E59" s="593"/>
      <c r="F59" s="593"/>
      <c r="G59" s="593"/>
      <c r="H59" s="593"/>
      <c r="I59" s="593"/>
      <c r="J59" s="593"/>
      <c r="K59" s="586"/>
    </row>
    <row r="60" spans="1:11" s="253" customFormat="1" ht="13.9" customHeight="1">
      <c r="A60" s="243" t="s">
        <v>528</v>
      </c>
      <c r="B60" s="591">
        <f>'Sources and Uses Budget'!C61</f>
        <v>70316.667588104989</v>
      </c>
      <c r="C60" s="591">
        <f>SUM(C54:C59)</f>
        <v>70316.667588104989</v>
      </c>
      <c r="D60" s="591">
        <f>SUM(D54:D59)</f>
        <v>0</v>
      </c>
      <c r="E60" s="593"/>
      <c r="F60" s="593"/>
      <c r="G60" s="593"/>
      <c r="H60" s="593"/>
      <c r="I60" s="593"/>
      <c r="J60" s="593"/>
      <c r="K60" s="586"/>
    </row>
    <row r="61" spans="1:11" s="253" customFormat="1">
      <c r="A61" s="249" t="s">
        <v>529</v>
      </c>
      <c r="B61" s="591">
        <f>'Sources and Uses Budget'!C62</f>
        <v>30235146.998934623</v>
      </c>
      <c r="C61" s="591">
        <f>SUM(C8+C11+C13+C14+C15+C25+C26+C37+C41+C42+C52+C60)</f>
        <v>30235146.998934623</v>
      </c>
      <c r="D61" s="591">
        <f>SUM(D8+D11+D13+D14+D15+D25+D26+D37+D41+D42+D52+D60)</f>
        <v>0</v>
      </c>
      <c r="E61" s="591">
        <f>'Sources and Uses Budget'!S62</f>
        <v>27282778.145645883</v>
      </c>
      <c r="F61" s="591">
        <f>SUM(F10+F13+F14+F15+F25+F26+F37+F41+F42+F52)</f>
        <v>27282778.145645883</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60000</v>
      </c>
      <c r="C63" s="592">
        <f>+B63</f>
        <v>60000</v>
      </c>
      <c r="D63" s="592"/>
      <c r="E63" s="591">
        <f>'Sources and Uses Budget'!S64</f>
        <v>60000</v>
      </c>
      <c r="F63" s="592">
        <f>+E63</f>
        <v>60000</v>
      </c>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 xml:space="preserve">Other: Soft Lender Legal/Owner Legal </v>
      </c>
      <c r="B67" s="591">
        <f>'Sources and Uses Budget'!C68</f>
        <v>105000</v>
      </c>
      <c r="C67" s="592">
        <f>+B67</f>
        <v>105000</v>
      </c>
      <c r="D67" s="592"/>
      <c r="E67" s="591">
        <f>'Sources and Uses Budget'!S68</f>
        <v>105000</v>
      </c>
      <c r="F67" s="592">
        <f>+E67</f>
        <v>105000</v>
      </c>
      <c r="G67" s="592"/>
      <c r="H67" s="591">
        <f>'Sources and Uses Budget'!T68</f>
        <v>0</v>
      </c>
      <c r="I67" s="592"/>
      <c r="J67" s="592"/>
      <c r="K67" s="586"/>
    </row>
    <row r="68" spans="1:11" s="253" customFormat="1">
      <c r="A68" s="243" t="s">
        <v>2051</v>
      </c>
      <c r="B68" s="591">
        <f>'Sources and Uses Budget'!C69</f>
        <v>165000</v>
      </c>
      <c r="C68" s="591">
        <f>SUM(C62:C67)</f>
        <v>165000</v>
      </c>
      <c r="D68" s="591">
        <f>SUM(D62:D67)</f>
        <v>0</v>
      </c>
      <c r="E68" s="591">
        <f>'Sources and Uses Budget'!S69</f>
        <v>165000</v>
      </c>
      <c r="F68" s="594">
        <f>SUM(F63:F67)</f>
        <v>165000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293729.57142857142</v>
      </c>
      <c r="C73" s="592">
        <f>+B73</f>
        <v>293729.57142857142</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293729.57142857142</v>
      </c>
      <c r="C75" s="591">
        <f>SUM(C70:C74)</f>
        <v>293729.57142857142</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2399281.8000000003</v>
      </c>
      <c r="C77" s="592">
        <f>+B77</f>
        <v>2399281.8000000003</v>
      </c>
      <c r="D77" s="592"/>
      <c r="E77" s="591">
        <f>'Sources and Uses Budget'!S78</f>
        <v>2399281.8000000003</v>
      </c>
      <c r="F77" s="592">
        <f>+E77</f>
        <v>2399281.8000000003</v>
      </c>
      <c r="G77" s="592"/>
      <c r="H77" s="591">
        <f>'Sources and Uses Budget'!T78</f>
        <v>0</v>
      </c>
      <c r="I77" s="592"/>
      <c r="J77" s="592"/>
      <c r="K77" s="586"/>
    </row>
    <row r="78" spans="1:11" s="253" customFormat="1">
      <c r="A78" s="239" t="s">
        <v>568</v>
      </c>
      <c r="B78" s="591">
        <f>'Sources and Uses Budget'!C79</f>
        <v>320000</v>
      </c>
      <c r="C78" s="592">
        <f>+B78</f>
        <v>320000</v>
      </c>
      <c r="D78" s="592"/>
      <c r="E78" s="591">
        <f>'Sources and Uses Budget'!S79</f>
        <v>320000</v>
      </c>
      <c r="F78" s="592">
        <f>+E78</f>
        <v>320000</v>
      </c>
      <c r="G78" s="592"/>
      <c r="H78" s="591">
        <f>'Sources and Uses Budget'!T79</f>
        <v>0</v>
      </c>
      <c r="I78" s="592"/>
      <c r="J78" s="592"/>
      <c r="K78" s="586"/>
    </row>
    <row r="79" spans="1:11" s="253" customFormat="1">
      <c r="A79" s="243" t="s">
        <v>1813</v>
      </c>
      <c r="B79" s="591">
        <f>'Sources and Uses Budget'!C80</f>
        <v>2719281.8000000003</v>
      </c>
      <c r="C79" s="674">
        <f>SUM(C77:C78)</f>
        <v>2719281.8000000003</v>
      </c>
      <c r="D79" s="674">
        <f>SUM(D77:D78)</f>
        <v>0</v>
      </c>
      <c r="E79" s="591">
        <f>'Sources and Uses Budget'!S80</f>
        <v>2719281.8000000003</v>
      </c>
      <c r="F79" s="674">
        <f>SUM(F77:F78)</f>
        <v>2719281.8000000003</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125780</v>
      </c>
      <c r="C81" s="592">
        <f>+B81</f>
        <v>125780</v>
      </c>
      <c r="D81" s="592"/>
      <c r="E81" s="593"/>
      <c r="F81" s="593"/>
      <c r="G81" s="593"/>
      <c r="H81" s="593"/>
      <c r="I81" s="593"/>
      <c r="J81" s="593"/>
      <c r="K81" s="586"/>
    </row>
    <row r="82" spans="1:11" s="253" customFormat="1">
      <c r="A82" s="239" t="s">
        <v>546</v>
      </c>
      <c r="B82" s="591">
        <f>'Sources and Uses Budget'!C83</f>
        <v>0</v>
      </c>
      <c r="C82" s="592">
        <f t="shared" ref="C82:C93" si="6">+B82</f>
        <v>0</v>
      </c>
      <c r="D82" s="592"/>
      <c r="E82" s="591">
        <f>'Sources and Uses Budget'!S83</f>
        <v>0</v>
      </c>
      <c r="F82" s="592">
        <f>+E82</f>
        <v>0</v>
      </c>
      <c r="G82" s="592"/>
      <c r="H82" s="591">
        <f>'Sources and Uses Budget'!T83</f>
        <v>0</v>
      </c>
      <c r="I82" s="592"/>
      <c r="J82" s="592"/>
      <c r="K82" s="586"/>
    </row>
    <row r="83" spans="1:11" s="253" customFormat="1">
      <c r="A83" s="239" t="s">
        <v>547</v>
      </c>
      <c r="B83" s="591">
        <f>'Sources and Uses Budget'!C84</f>
        <v>1143995</v>
      </c>
      <c r="C83" s="592">
        <f t="shared" si="6"/>
        <v>1143995</v>
      </c>
      <c r="D83" s="592"/>
      <c r="E83" s="591">
        <f>'Sources and Uses Budget'!S84</f>
        <v>762355</v>
      </c>
      <c r="F83" s="592">
        <f t="shared" ref="F83:F85" si="7">+E83</f>
        <v>762355</v>
      </c>
      <c r="G83" s="592"/>
      <c r="H83" s="591">
        <f>'Sources and Uses Budget'!T84</f>
        <v>0</v>
      </c>
      <c r="I83" s="592"/>
      <c r="J83" s="592"/>
      <c r="K83" s="586"/>
    </row>
    <row r="84" spans="1:11" s="253" customFormat="1">
      <c r="A84" s="239" t="s">
        <v>548</v>
      </c>
      <c r="B84" s="591">
        <f>'Sources and Uses Budget'!C85</f>
        <v>183351</v>
      </c>
      <c r="C84" s="592">
        <f t="shared" si="6"/>
        <v>183351</v>
      </c>
      <c r="D84" s="592"/>
      <c r="E84" s="591">
        <f>'Sources and Uses Budget'!S85</f>
        <v>183351</v>
      </c>
      <c r="F84" s="592">
        <f t="shared" si="7"/>
        <v>183351</v>
      </c>
      <c r="G84" s="592"/>
      <c r="H84" s="591">
        <f>'Sources and Uses Budget'!T85</f>
        <v>0</v>
      </c>
      <c r="I84" s="592"/>
      <c r="J84" s="592"/>
      <c r="K84" s="586"/>
    </row>
    <row r="85" spans="1:11" s="253" customFormat="1">
      <c r="A85" s="239" t="s">
        <v>549</v>
      </c>
      <c r="B85" s="591">
        <f>'Sources and Uses Budget'!C86</f>
        <v>0</v>
      </c>
      <c r="C85" s="592">
        <f t="shared" si="6"/>
        <v>0</v>
      </c>
      <c r="D85" s="592"/>
      <c r="E85" s="591">
        <f>'Sources and Uses Budget'!S86</f>
        <v>0</v>
      </c>
      <c r="F85" s="592">
        <f t="shared" si="7"/>
        <v>0</v>
      </c>
      <c r="G85" s="592"/>
      <c r="H85" s="591">
        <f>'Sources and Uses Budget'!T86</f>
        <v>0</v>
      </c>
      <c r="I85" s="592"/>
      <c r="J85" s="592"/>
      <c r="K85" s="586"/>
    </row>
    <row r="86" spans="1:11" s="253" customFormat="1">
      <c r="A86" s="239" t="s">
        <v>550</v>
      </c>
      <c r="B86" s="591">
        <f>'Sources and Uses Budget'!C87</f>
        <v>116000</v>
      </c>
      <c r="C86" s="592">
        <f t="shared" si="6"/>
        <v>116000</v>
      </c>
      <c r="D86" s="592"/>
      <c r="E86" s="593"/>
      <c r="F86" s="593"/>
      <c r="G86" s="593"/>
      <c r="H86" s="593"/>
      <c r="I86" s="593"/>
      <c r="J86" s="593"/>
      <c r="K86" s="586"/>
    </row>
    <row r="87" spans="1:11" s="253" customFormat="1">
      <c r="A87" s="239" t="s">
        <v>551</v>
      </c>
      <c r="B87" s="591">
        <f>'Sources and Uses Budget'!C88</f>
        <v>100000</v>
      </c>
      <c r="C87" s="592">
        <f t="shared" si="6"/>
        <v>100000</v>
      </c>
      <c r="D87" s="592"/>
      <c r="E87" s="591">
        <f>'Sources and Uses Budget'!S88</f>
        <v>100000</v>
      </c>
      <c r="F87" s="592">
        <f>+E87</f>
        <v>100000</v>
      </c>
      <c r="G87" s="592"/>
      <c r="H87" s="591">
        <f>'Sources and Uses Budget'!T88</f>
        <v>0</v>
      </c>
      <c r="I87" s="592"/>
      <c r="J87" s="592"/>
      <c r="K87" s="586"/>
    </row>
    <row r="88" spans="1:11" s="253" customFormat="1">
      <c r="A88" s="239" t="s">
        <v>552</v>
      </c>
      <c r="B88" s="591">
        <f>'Sources and Uses Budget'!C89</f>
        <v>5500</v>
      </c>
      <c r="C88" s="592">
        <f t="shared" si="6"/>
        <v>5500</v>
      </c>
      <c r="D88" s="592"/>
      <c r="E88" s="591">
        <f>'Sources and Uses Budget'!S89</f>
        <v>0</v>
      </c>
      <c r="F88" s="592">
        <f t="shared" ref="F88:F93" si="8">+E88</f>
        <v>0</v>
      </c>
      <c r="G88" s="592"/>
      <c r="H88" s="591">
        <f>'Sources and Uses Budget'!T89</f>
        <v>0</v>
      </c>
      <c r="I88" s="592"/>
      <c r="J88" s="592"/>
      <c r="K88" s="586"/>
    </row>
    <row r="89" spans="1:11" s="253" customFormat="1">
      <c r="A89" s="239" t="s">
        <v>1366</v>
      </c>
      <c r="B89" s="591">
        <f>'Sources and Uses Budget'!C90</f>
        <v>0</v>
      </c>
      <c r="C89" s="592">
        <f t="shared" si="6"/>
        <v>0</v>
      </c>
      <c r="D89" s="592"/>
      <c r="E89" s="591">
        <f>'Sources and Uses Budget'!S90</f>
        <v>0</v>
      </c>
      <c r="F89" s="592">
        <f t="shared" si="8"/>
        <v>0</v>
      </c>
      <c r="G89" s="592"/>
      <c r="H89" s="591">
        <f>'Sources and Uses Budget'!T90</f>
        <v>0</v>
      </c>
      <c r="I89" s="592"/>
      <c r="J89" s="592"/>
      <c r="K89" s="586"/>
    </row>
    <row r="90" spans="1:11" s="253" customFormat="1">
      <c r="A90" s="239" t="s">
        <v>1811</v>
      </c>
      <c r="B90" s="591">
        <f>'Sources and Uses Budget'!C91</f>
        <v>10000</v>
      </c>
      <c r="C90" s="592">
        <f t="shared" si="6"/>
        <v>10000</v>
      </c>
      <c r="D90" s="592"/>
      <c r="E90" s="591">
        <f>'Sources and Uses Budget'!S91</f>
        <v>10000</v>
      </c>
      <c r="F90" s="592">
        <f t="shared" si="8"/>
        <v>10000</v>
      </c>
      <c r="G90" s="592"/>
      <c r="H90" s="591">
        <f>'Sources and Uses Budget'!T91</f>
        <v>0</v>
      </c>
      <c r="I90" s="592"/>
      <c r="J90" s="592"/>
      <c r="K90" s="586"/>
    </row>
    <row r="91" spans="1:11" s="253" customFormat="1">
      <c r="A91" s="239" t="str">
        <f>'Sources and Uses Budget'!$A92</f>
        <v>Other: Environmental Remediation</v>
      </c>
      <c r="B91" s="591">
        <f>'Sources and Uses Budget'!C92</f>
        <v>569860</v>
      </c>
      <c r="C91" s="592">
        <f t="shared" si="6"/>
        <v>569860</v>
      </c>
      <c r="D91" s="592"/>
      <c r="E91" s="591">
        <f>'Sources and Uses Budget'!S92</f>
        <v>0</v>
      </c>
      <c r="F91" s="592">
        <f t="shared" si="8"/>
        <v>0</v>
      </c>
      <c r="G91" s="592"/>
      <c r="H91" s="591">
        <f>'Sources and Uses Budget'!T92</f>
        <v>0</v>
      </c>
      <c r="I91" s="592"/>
      <c r="J91" s="592"/>
      <c r="K91" s="586"/>
    </row>
    <row r="92" spans="1:11" s="253" customFormat="1">
      <c r="A92" s="239" t="str">
        <f>'Sources and Uses Budget'!$A93</f>
        <v>Other: (Specify)</v>
      </c>
      <c r="B92" s="591">
        <f>'Sources and Uses Budget'!C93</f>
        <v>0</v>
      </c>
      <c r="C92" s="592">
        <f t="shared" si="6"/>
        <v>0</v>
      </c>
      <c r="D92" s="592"/>
      <c r="E92" s="591">
        <f>'Sources and Uses Budget'!S93</f>
        <v>0</v>
      </c>
      <c r="F92" s="592">
        <f t="shared" si="8"/>
        <v>0</v>
      </c>
      <c r="G92" s="592"/>
      <c r="H92" s="591">
        <f>'Sources and Uses Budget'!T93</f>
        <v>0</v>
      </c>
      <c r="I92" s="592"/>
      <c r="J92" s="592"/>
      <c r="K92" s="586"/>
    </row>
    <row r="93" spans="1:11" s="253" customFormat="1">
      <c r="A93" s="239" t="str">
        <f>'Sources and Uses Budget'!$A94</f>
        <v>Other: (Specify)</v>
      </c>
      <c r="B93" s="591">
        <f>'Sources and Uses Budget'!C94</f>
        <v>0</v>
      </c>
      <c r="C93" s="592">
        <f t="shared" si="6"/>
        <v>0</v>
      </c>
      <c r="D93" s="592"/>
      <c r="E93" s="591">
        <f>'Sources and Uses Budget'!S94</f>
        <v>0</v>
      </c>
      <c r="F93" s="592">
        <f t="shared" si="8"/>
        <v>0</v>
      </c>
      <c r="G93" s="592"/>
      <c r="H93" s="591">
        <f>'Sources and Uses Budget'!T94</f>
        <v>0</v>
      </c>
      <c r="I93" s="592"/>
      <c r="J93" s="592"/>
      <c r="K93" s="586"/>
    </row>
    <row r="94" spans="1:11" s="253" customFormat="1">
      <c r="A94" s="243" t="s">
        <v>553</v>
      </c>
      <c r="B94" s="591">
        <f>'Sources and Uses Budget'!C95</f>
        <v>2254486</v>
      </c>
      <c r="C94" s="591">
        <f>SUM(C81:C93)</f>
        <v>2254486</v>
      </c>
      <c r="D94" s="591">
        <f>SUM(D81:D93)</f>
        <v>0</v>
      </c>
      <c r="E94" s="591">
        <f>'Sources and Uses Budget'!S95</f>
        <v>1055706</v>
      </c>
      <c r="F94" s="594">
        <f>SUM(F82:F85,F87:F93)</f>
        <v>1055706</v>
      </c>
      <c r="G94" s="594">
        <f>SUM(G82:G85,G87:G93)</f>
        <v>0</v>
      </c>
      <c r="H94" s="591">
        <f>'Sources and Uses Budget'!T95</f>
        <v>0</v>
      </c>
      <c r="I94" s="591">
        <f>SUM(I82:I85,I87:I93)</f>
        <v>0</v>
      </c>
      <c r="J94" s="591">
        <f>SUM(J82:J85,J87:J93)</f>
        <v>0</v>
      </c>
      <c r="K94" s="586"/>
    </row>
    <row r="95" spans="1:11" s="253" customFormat="1">
      <c r="A95" s="243" t="s">
        <v>1417</v>
      </c>
      <c r="B95" s="591">
        <f>'Sources and Uses Budget'!C96</f>
        <v>35667644.370363191</v>
      </c>
      <c r="C95" s="591">
        <f>SUM(C61+C68+C75+C79+C94)</f>
        <v>35667644.370363191</v>
      </c>
      <c r="D95" s="591">
        <f>SUM(D61+D68+D75+D79+D94)</f>
        <v>0</v>
      </c>
      <c r="E95" s="591">
        <f>'Sources and Uses Budget'!S96</f>
        <v>31222765.945645884</v>
      </c>
      <c r="F95" s="594">
        <f>SUM(+F61+F68+F79+F94)</f>
        <v>31222765.945645884</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1418</v>
      </c>
      <c r="B103" s="591">
        <f>'Sources and Uses Budget'!C104</f>
        <v>37867644.370363191</v>
      </c>
      <c r="C103" s="594">
        <f>SUM(C95+C102)</f>
        <v>37867644.370363191</v>
      </c>
      <c r="D103" s="594">
        <f>SUM(D95+D102)</f>
        <v>0</v>
      </c>
      <c r="E103" s="591">
        <f>'Sources and Uses Budget'!S104</f>
        <v>33422765.945645884</v>
      </c>
      <c r="F103" s="594">
        <f>F95+F102</f>
        <v>33422765.945645884</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33422765.945645884</v>
      </c>
      <c r="F105" s="594">
        <f>F103+F104</f>
        <v>33422765.945645884</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AA299" sqref="AA299:AK29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2" t="s">
        <v>885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row>
    <row r="2" spans="1:42" s="5" customFormat="1" ht="12.7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6" t="s">
        <v>388</v>
      </c>
      <c r="AF4" s="1676"/>
      <c r="AG4" s="1676"/>
      <c r="AH4" s="1676"/>
      <c r="AI4" s="1676"/>
      <c r="AJ4" s="1676"/>
      <c r="AK4" s="1676"/>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8" t="s">
        <v>893</v>
      </c>
      <c r="AG6" s="1678"/>
      <c r="AH6" s="1678"/>
      <c r="AI6" s="1678"/>
      <c r="AJ6" s="1678"/>
      <c r="AK6" s="1678"/>
      <c r="AL6" s="1678"/>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2" t="s">
        <v>2432</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2" t="s">
        <v>1294</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8" t="s">
        <v>132</v>
      </c>
      <c r="AC13" s="1788"/>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2" t="s">
        <v>1164</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7" t="s">
        <v>2328</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7"/>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7"/>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7"/>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9"/>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9"/>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1"/>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1"/>
    </row>
    <row r="29" spans="1:42" s="4" customFormat="1" ht="31.7"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1"/>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0">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0"/>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2" t="s">
        <v>1298</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8" t="s">
        <v>132</v>
      </c>
      <c r="AD37" s="1788"/>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1164</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2380</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7" t="s">
        <v>1535</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593</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649</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4"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7" t="s">
        <v>2319</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2.9" customHeight="1">
      <c r="A59" s="430"/>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699</v>
      </c>
      <c r="C66" s="1702"/>
      <c r="D66" s="1702"/>
      <c r="E66" s="1702"/>
      <c r="F66" s="1702"/>
      <c r="G66" s="1702"/>
      <c r="H66" s="1702"/>
      <c r="I66" s="1702"/>
      <c r="J66" s="1702"/>
      <c r="K66" s="1702"/>
      <c r="AF66" s="1678" t="s">
        <v>980</v>
      </c>
      <c r="AG66" s="1678"/>
      <c r="AH66" s="1678"/>
      <c r="AI66" s="1678"/>
      <c r="AJ66" s="1678"/>
      <c r="AK66" s="1678"/>
      <c r="AL66" s="1678"/>
      <c r="AN66" s="281"/>
      <c r="AP66" s="4" t="s">
        <v>132</v>
      </c>
    </row>
    <row r="67" spans="1:42" s="4" customFormat="1" ht="12.75" customHeight="1">
      <c r="B67" s="1787" t="s">
        <v>1370</v>
      </c>
      <c r="C67" s="1787"/>
      <c r="D67" s="1787"/>
      <c r="E67" s="1787"/>
      <c r="F67" s="1787"/>
      <c r="G67" s="1787"/>
      <c r="H67" s="1787"/>
      <c r="I67" s="1787"/>
      <c r="J67" s="1787"/>
      <c r="K67" s="1787"/>
      <c r="L67" s="1787"/>
      <c r="M67" s="1787"/>
      <c r="N67" s="1787"/>
      <c r="O67" s="1787"/>
      <c r="P67" s="1787"/>
      <c r="Q67" s="1787"/>
      <c r="R67" s="1787"/>
      <c r="S67" s="1787"/>
      <c r="T67" s="1702" t="s">
        <v>132</v>
      </c>
      <c r="U67" s="1702"/>
      <c r="V67" s="1702"/>
      <c r="W67" s="1702"/>
      <c r="X67" s="1702"/>
      <c r="Y67" s="1702"/>
      <c r="Z67" s="1702"/>
      <c r="AA67" s="1702"/>
      <c r="AB67" s="1702"/>
      <c r="AC67" s="1702"/>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8">
        <f>VLOOKUP($B$66,$AP$45:$AR$50,2,FALSE)</f>
        <v>10</v>
      </c>
      <c r="AL68" s="1239"/>
      <c r="AM68" s="1239"/>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1019</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2232</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8" t="s">
        <v>893</v>
      </c>
      <c r="AG90" s="1678"/>
      <c r="AH90" s="1678"/>
      <c r="AI90" s="1678"/>
      <c r="AJ90" s="1678"/>
      <c r="AK90" s="1678"/>
      <c r="AL90" s="1678"/>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6" t="s">
        <v>765</v>
      </c>
      <c r="I112" s="1666"/>
      <c r="J112" s="116"/>
      <c r="K112" s="116"/>
      <c r="L112" s="116"/>
      <c r="M112" s="116"/>
      <c r="O112" s="944" t="s">
        <v>2197</v>
      </c>
      <c r="T112" s="1791"/>
      <c r="U112" s="1791"/>
      <c r="V112" s="1791"/>
      <c r="W112" s="1791"/>
      <c r="X112" s="1791"/>
      <c r="Y112" s="1791"/>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0" t="s">
        <v>1537</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1" t="s">
        <v>132</v>
      </c>
      <c r="C120" s="1111"/>
      <c r="D120" s="49"/>
      <c r="E120" s="1667" t="s">
        <v>1842</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8">
        <f>VLOOKUP($H$112,$AO$96:$AP$101,2,FALSE)+IF(T112=AO108,0,VLOOKUP($H$118,$AO$116:$AP$118,2,FALSE))</f>
        <v>6</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9" t="s">
        <v>1915</v>
      </c>
      <c r="F128" s="1789"/>
      <c r="G128" s="1789"/>
      <c r="H128" s="1789"/>
      <c r="I128" s="1789"/>
      <c r="J128" s="1789"/>
      <c r="K128" s="1789"/>
      <c r="L128" s="1789"/>
      <c r="M128" s="1789"/>
      <c r="N128" s="1789"/>
      <c r="O128" s="1789"/>
      <c r="P128" s="1789"/>
      <c r="Q128" s="1789"/>
      <c r="R128" s="1789"/>
      <c r="S128" s="1789"/>
      <c r="T128" s="1789"/>
      <c r="U128" s="1789"/>
      <c r="V128" s="1789"/>
      <c r="W128" s="1789"/>
      <c r="X128" s="1789"/>
      <c r="Y128" s="1789"/>
      <c r="Z128" s="1789"/>
      <c r="AA128" s="1789"/>
      <c r="AB128" s="1789"/>
      <c r="AC128" s="1789"/>
      <c r="AD128" s="1789"/>
      <c r="AF128" s="1678" t="s">
        <v>65</v>
      </c>
      <c r="AG128" s="1678"/>
      <c r="AH128" s="1678"/>
      <c r="AI128" s="1678"/>
      <c r="AJ128" s="1678"/>
      <c r="AK128" s="1678"/>
      <c r="AL128" s="1678"/>
      <c r="AM128" s="4"/>
      <c r="AN128" s="298"/>
    </row>
    <row r="129" spans="1:42" s="4" customFormat="1" ht="12.75" customHeight="1">
      <c r="A129" s="120"/>
      <c r="B129" s="5"/>
      <c r="C129" s="115"/>
      <c r="D129" s="26"/>
      <c r="E129" s="1789"/>
      <c r="F129" s="1789"/>
      <c r="G129" s="1789"/>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89"/>
      <c r="AC129" s="1789"/>
      <c r="AD129" s="1789"/>
      <c r="AF129" s="5"/>
      <c r="AN129" s="281"/>
    </row>
    <row r="130" spans="1:42" s="4" customFormat="1" ht="12.75" customHeight="1">
      <c r="B130" s="5"/>
      <c r="C130" s="45"/>
      <c r="D130" s="26"/>
      <c r="E130" s="1789"/>
      <c r="F130" s="1789"/>
      <c r="G130" s="1789"/>
      <c r="H130" s="1789"/>
      <c r="I130" s="1789"/>
      <c r="J130" s="1789"/>
      <c r="K130" s="1789"/>
      <c r="L130" s="1789"/>
      <c r="M130" s="1789"/>
      <c r="N130" s="1789"/>
      <c r="O130" s="1789"/>
      <c r="P130" s="1789"/>
      <c r="Q130" s="1789"/>
      <c r="R130" s="1789"/>
      <c r="S130" s="1789"/>
      <c r="T130" s="1789"/>
      <c r="U130" s="1789"/>
      <c r="V130" s="1789"/>
      <c r="W130" s="1789"/>
      <c r="X130" s="1789"/>
      <c r="Y130" s="1789"/>
      <c r="Z130" s="1789"/>
      <c r="AA130" s="1789"/>
      <c r="AB130" s="1789"/>
      <c r="AC130" s="1789"/>
      <c r="AD130" s="1789"/>
      <c r="AF130" s="5"/>
      <c r="AN130" s="281"/>
    </row>
    <row r="131" spans="1:42" s="4" customFormat="1" ht="12.75" customHeight="1">
      <c r="A131" s="35"/>
      <c r="B131" s="102"/>
      <c r="C131" s="121"/>
      <c r="D131" s="26"/>
      <c r="E131" s="1789"/>
      <c r="F131" s="1789"/>
      <c r="G131" s="1789"/>
      <c r="H131" s="1789"/>
      <c r="I131" s="1789"/>
      <c r="J131" s="1789"/>
      <c r="K131" s="1789"/>
      <c r="L131" s="1789"/>
      <c r="M131" s="1789"/>
      <c r="N131" s="1789"/>
      <c r="O131" s="1789"/>
      <c r="P131" s="1789"/>
      <c r="Q131" s="1789"/>
      <c r="R131" s="1789"/>
      <c r="S131" s="1789"/>
      <c r="T131" s="1789"/>
      <c r="U131" s="1789"/>
      <c r="V131" s="1789"/>
      <c r="W131" s="1789"/>
      <c r="X131" s="1789"/>
      <c r="Y131" s="1789"/>
      <c r="Z131" s="1789"/>
      <c r="AA131" s="1789"/>
      <c r="AB131" s="1789"/>
      <c r="AC131" s="1789"/>
      <c r="AD131" s="1789"/>
      <c r="AE131" s="19"/>
      <c r="AF131" s="102"/>
      <c r="AG131" s="19"/>
      <c r="AH131" s="19"/>
      <c r="AI131" s="19"/>
      <c r="AJ131" s="19"/>
      <c r="AN131" s="281"/>
    </row>
    <row r="132" spans="1:42" s="4" customFormat="1" ht="22.9" customHeight="1">
      <c r="B132" s="102"/>
      <c r="C132" s="121"/>
      <c r="D132" s="26"/>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2" t="s">
        <v>132</v>
      </c>
      <c r="T133" s="1792"/>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6" t="s">
        <v>208</v>
      </c>
      <c r="I137" s="1666"/>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8">
        <f>VLOOKUP($H$137,$AO$111:$AP$113,2,FALSE)</f>
        <v>2</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208</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8">
        <f>VLOOKUP(H149,AT111:AU113,2,FALSE)</f>
        <v>2</v>
      </c>
      <c r="AK151" s="124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7" t="s">
        <v>780</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1784</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7" t="s">
        <v>1785</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8">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7" t="s">
        <v>1786</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7" t="s">
        <v>1787</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1538</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2.9"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1539</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610</v>
      </c>
      <c r="AP179" s="4">
        <v>3</v>
      </c>
    </row>
    <row r="180" spans="1:42" s="4" customFormat="1" ht="22.9"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930</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8">
        <f>VLOOKUP($H$182,$AO$132:$AP$139,2,FALSE)</f>
        <v>3</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7" t="s">
        <v>2329</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4"/>
      <c r="AP189" s="1404"/>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7" t="s">
        <v>2330</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2044</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132</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38">
        <f>VLOOKUP($H$201,$AO$151:$AP$153,2,FALSE)</f>
        <v>0</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3" t="s">
        <v>1305</v>
      </c>
      <c r="F207" s="1793"/>
      <c r="G207" s="1793"/>
      <c r="H207" s="1793"/>
      <c r="I207" s="1793"/>
      <c r="J207" s="1793"/>
      <c r="K207" s="1793"/>
      <c r="L207" s="1793"/>
      <c r="M207" s="1793"/>
      <c r="N207" s="1793"/>
      <c r="O207" s="1793"/>
      <c r="P207" s="1793"/>
      <c r="Q207" s="1793"/>
      <c r="R207" s="1793"/>
      <c r="S207" s="1793"/>
      <c r="T207" s="1793"/>
      <c r="U207" s="1793"/>
      <c r="V207" s="1793"/>
      <c r="W207" s="1793"/>
      <c r="X207" s="1793"/>
      <c r="Y207" s="1793"/>
      <c r="Z207" s="1793"/>
      <c r="AA207" s="1793"/>
      <c r="AB207" s="1793"/>
      <c r="AC207" s="4"/>
      <c r="AD207" s="4"/>
      <c r="AF207" s="1678" t="s">
        <v>65</v>
      </c>
      <c r="AG207" s="1678"/>
      <c r="AH207" s="1678"/>
      <c r="AI207" s="1678"/>
      <c r="AJ207" s="1678"/>
      <c r="AK207" s="1678"/>
      <c r="AL207" s="1678"/>
      <c r="AM207" s="4"/>
      <c r="AN207" s="204"/>
      <c r="AP207" t="s">
        <v>106</v>
      </c>
    </row>
    <row r="208" spans="1:42" customFormat="1" ht="11.85" customHeight="1">
      <c r="A208" s="4"/>
      <c r="B208" s="5"/>
      <c r="C208" s="115"/>
      <c r="D208" s="26"/>
      <c r="E208" s="1793"/>
      <c r="F208" s="1793"/>
      <c r="G208" s="1793"/>
      <c r="H208" s="1793"/>
      <c r="I208" s="1793"/>
      <c r="J208" s="1793"/>
      <c r="K208" s="1793"/>
      <c r="L208" s="1793"/>
      <c r="M208" s="1793"/>
      <c r="N208" s="1793"/>
      <c r="O208" s="1793"/>
      <c r="P208" s="1793"/>
      <c r="Q208" s="1793"/>
      <c r="R208" s="1793"/>
      <c r="S208" s="1793"/>
      <c r="T208" s="1793"/>
      <c r="U208" s="1793"/>
      <c r="V208" s="1793"/>
      <c r="W208" s="1793"/>
      <c r="X208" s="1793"/>
      <c r="Y208" s="1793"/>
      <c r="Z208" s="1793"/>
      <c r="AA208" s="1793"/>
      <c r="AB208" s="1793"/>
      <c r="AC208" s="4"/>
      <c r="AD208" s="4"/>
      <c r="AE208" s="4"/>
      <c r="AM208" s="4"/>
      <c r="AN208" s="204"/>
      <c r="AP208" t="s">
        <v>103</v>
      </c>
    </row>
    <row r="209" spans="1:52" customFormat="1" ht="13.9" customHeight="1">
      <c r="A209" s="4"/>
      <c r="B209" s="42"/>
      <c r="C209" s="45"/>
      <c r="D209" s="26"/>
      <c r="E209" s="1793"/>
      <c r="F209" s="1793"/>
      <c r="G209" s="1793"/>
      <c r="H209" s="1793"/>
      <c r="I209" s="1793"/>
      <c r="J209" s="1793"/>
      <c r="K209" s="1793"/>
      <c r="L209" s="1793"/>
      <c r="M209" s="1793"/>
      <c r="N209" s="1793"/>
      <c r="O209" s="1793"/>
      <c r="P209" s="1793"/>
      <c r="Q209" s="1793"/>
      <c r="R209" s="1793"/>
      <c r="S209" s="1793"/>
      <c r="T209" s="1793"/>
      <c r="U209" s="1793"/>
      <c r="V209" s="1793"/>
      <c r="W209" s="1793"/>
      <c r="X209" s="1793"/>
      <c r="Y209" s="1793"/>
      <c r="Z209" s="1793"/>
      <c r="AA209" s="1793"/>
      <c r="AB209" s="1793"/>
      <c r="AC209" s="4"/>
      <c r="AD209" s="4"/>
      <c r="AE209" s="19"/>
      <c r="AM209" s="4"/>
      <c r="AN209" s="204"/>
      <c r="AP209" t="s">
        <v>104</v>
      </c>
    </row>
    <row r="210" spans="1:52" customFormat="1" ht="13.9" customHeight="1">
      <c r="A210" s="4"/>
      <c r="B210" s="5"/>
      <c r="C210" s="45"/>
      <c r="D210" s="26" t="s">
        <v>208</v>
      </c>
      <c r="E210" s="1679" t="s">
        <v>1306</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7" t="s">
        <v>1555</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921</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7" t="s">
        <v>1168</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1169</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208</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8">
        <f>VLOOKUP($H$239,$AO$178:$AP$180,2,FALSE)</f>
        <v>2</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1307</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208</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1</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67" t="s">
        <v>2042</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2043</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67" t="s">
        <v>2332</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1702</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6" t="s">
        <v>132</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16</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2433</v>
      </c>
      <c r="I284" s="1084"/>
      <c r="J284" s="1084"/>
      <c r="K284" s="1084"/>
      <c r="L284" s="1084"/>
      <c r="M284" s="1084"/>
      <c r="N284" s="1084"/>
      <c r="O284" s="1084"/>
      <c r="P284" s="1084"/>
      <c r="Q284" s="1084"/>
      <c r="R284" s="1084"/>
      <c r="S284"/>
      <c r="T284" s="41" t="s">
        <v>97</v>
      </c>
      <c r="U284"/>
      <c r="V284" s="41"/>
      <c r="W284" s="41"/>
      <c r="X284" s="41"/>
      <c r="Y284" s="41"/>
      <c r="Z284"/>
      <c r="AA284" s="1084" t="s">
        <v>2436</v>
      </c>
      <c r="AB284" s="1084"/>
      <c r="AC284" s="1084"/>
      <c r="AD284" s="1084"/>
      <c r="AE284" s="1084"/>
      <c r="AF284" s="1084"/>
      <c r="AG284" s="1084"/>
      <c r="AH284" s="1084"/>
      <c r="AI284" s="1084"/>
      <c r="AJ284" s="1084"/>
      <c r="AK284" s="1084"/>
      <c r="AL284" s="10"/>
      <c r="AN284" s="281"/>
    </row>
    <row r="285" spans="1:82" s="4" customFormat="1" ht="12.75" customHeight="1">
      <c r="B285" s="41" t="s">
        <v>733</v>
      </c>
      <c r="C285" s="41"/>
      <c r="D285" s="41"/>
      <c r="E285" s="41"/>
      <c r="F285" s="41"/>
      <c r="G285"/>
      <c r="H285" s="1085" t="s">
        <v>2434</v>
      </c>
      <c r="I285" s="1085"/>
      <c r="J285" s="1085"/>
      <c r="K285" s="1085"/>
      <c r="L285" s="1085"/>
      <c r="M285" s="1085"/>
      <c r="N285" s="1085"/>
      <c r="O285" s="1085"/>
      <c r="P285" s="1085"/>
      <c r="Q285" s="1085"/>
      <c r="R285" s="1085"/>
      <c r="S285"/>
      <c r="T285" s="41" t="s">
        <v>733</v>
      </c>
      <c r="U285"/>
      <c r="V285" s="41"/>
      <c r="W285" s="41"/>
      <c r="X285" s="41"/>
      <c r="Y285" s="41"/>
      <c r="Z285"/>
      <c r="AA285" s="1085" t="s">
        <v>2437</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tr">
        <f>AA286</f>
        <v>Riverside, CA 92501</v>
      </c>
      <c r="I286" s="1085"/>
      <c r="J286" s="1085"/>
      <c r="K286" s="1085"/>
      <c r="L286" s="1085"/>
      <c r="M286" s="1085"/>
      <c r="N286" s="1085"/>
      <c r="O286" s="1085"/>
      <c r="P286" s="1085"/>
      <c r="Q286" s="1085"/>
      <c r="R286" s="1085"/>
      <c r="S286"/>
      <c r="T286" s="41" t="s">
        <v>107</v>
      </c>
      <c r="U286"/>
      <c r="V286" s="41"/>
      <c r="W286" s="41"/>
      <c r="X286" s="41"/>
      <c r="Y286" s="41"/>
      <c r="Z286"/>
      <c r="AA286" s="1085" t="s">
        <v>2438</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t="s">
        <v>2435</v>
      </c>
      <c r="I287" s="1085"/>
      <c r="J287" s="1085"/>
      <c r="K287" s="1085"/>
      <c r="L287" s="1085"/>
      <c r="M287" s="1085"/>
      <c r="N287" s="1085"/>
      <c r="O287" s="1085"/>
      <c r="P287" s="1085"/>
      <c r="Q287" s="1085"/>
      <c r="R287" s="1085"/>
      <c r="S287"/>
      <c r="T287" s="41" t="s">
        <v>398</v>
      </c>
      <c r="U287"/>
      <c r="V287" s="41"/>
      <c r="W287" s="41"/>
      <c r="X287" s="41"/>
      <c r="Y287" s="41"/>
      <c r="Z287"/>
      <c r="AA287" s="1085" t="s">
        <v>2439</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28" t="s">
        <v>2440</v>
      </c>
      <c r="I288" s="1107"/>
      <c r="J288" s="1107"/>
      <c r="K288" s="1107"/>
      <c r="L288" s="1107"/>
      <c r="M288" s="1107"/>
      <c r="N288" s="5" t="s">
        <v>857</v>
      </c>
      <c r="O288" s="5"/>
      <c r="P288" s="1110"/>
      <c r="Q288" s="1110"/>
      <c r="R288" s="1110"/>
      <c r="S288" s="41"/>
      <c r="T288" s="41" t="s">
        <v>399</v>
      </c>
      <c r="U288"/>
      <c r="V288" s="41"/>
      <c r="W288" s="41"/>
      <c r="X288" s="41"/>
      <c r="Y288" s="41"/>
      <c r="Z288"/>
      <c r="AA288" s="1128" t="s">
        <v>2445</v>
      </c>
      <c r="AB288" s="1107"/>
      <c r="AC288" s="1107"/>
      <c r="AD288" s="1107"/>
      <c r="AE288" s="1107"/>
      <c r="AF288" s="1107"/>
      <c r="AG288" s="5" t="s">
        <v>857</v>
      </c>
      <c r="AH288" s="5"/>
      <c r="AI288" s="1110"/>
      <c r="AJ288" s="1110"/>
      <c r="AK288" s="1110"/>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2441</v>
      </c>
      <c r="I290" s="1085"/>
      <c r="J290" s="1085"/>
      <c r="K290" s="1085"/>
      <c r="L290" s="1085"/>
      <c r="M290" s="1085"/>
      <c r="N290" s="1085"/>
      <c r="O290" s="1085"/>
      <c r="P290" s="1085"/>
      <c r="Q290" s="1085"/>
      <c r="R290" s="1085"/>
      <c r="S290" s="41"/>
      <c r="T290" s="41" t="s">
        <v>98</v>
      </c>
      <c r="U290"/>
      <c r="V290" s="41"/>
      <c r="W290" s="41"/>
      <c r="X290" s="41"/>
      <c r="Y290" s="41"/>
      <c r="Z290"/>
      <c r="AA290" s="1085" t="s">
        <v>2443</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8" t="s">
        <v>2442</v>
      </c>
      <c r="I291" s="1708"/>
      <c r="J291" s="1708"/>
      <c r="K291" s="1708"/>
      <c r="L291" s="1708"/>
      <c r="M291" s="1708"/>
      <c r="N291" s="1708"/>
      <c r="O291" s="1708"/>
      <c r="P291" s="1708"/>
      <c r="Q291" s="1708"/>
      <c r="R291" s="1708"/>
      <c r="S291" s="41"/>
      <c r="T291" s="41" t="s">
        <v>109</v>
      </c>
      <c r="U291" s="41"/>
      <c r="V291" s="41"/>
      <c r="W291" s="41"/>
      <c r="X291" s="41"/>
      <c r="Y291" s="41"/>
      <c r="Z291" s="12"/>
      <c r="AA291" s="1708" t="s">
        <v>2444</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2446</v>
      </c>
      <c r="I293" s="1084"/>
      <c r="J293" s="1084"/>
      <c r="K293" s="1084"/>
      <c r="L293" s="1084"/>
      <c r="M293" s="1084"/>
      <c r="N293" s="1084"/>
      <c r="O293" s="1084"/>
      <c r="P293" s="1084"/>
      <c r="Q293" s="1084"/>
      <c r="R293" s="1084"/>
      <c r="S293"/>
      <c r="T293" s="41" t="s">
        <v>97</v>
      </c>
      <c r="U293"/>
      <c r="V293" s="41"/>
      <c r="W293" s="41"/>
      <c r="X293" s="41"/>
      <c r="Y293" s="41"/>
      <c r="Z293"/>
      <c r="AA293" s="1084" t="s">
        <v>2449</v>
      </c>
      <c r="AB293" s="1084"/>
      <c r="AC293" s="1084"/>
      <c r="AD293" s="1084"/>
      <c r="AE293" s="1084"/>
      <c r="AF293" s="1084"/>
      <c r="AG293" s="1084"/>
      <c r="AH293" s="1084"/>
      <c r="AI293" s="1084"/>
      <c r="AJ293" s="1084"/>
      <c r="AK293" s="1084"/>
      <c r="AL293" s="10"/>
      <c r="AN293" s="281"/>
    </row>
    <row r="294" spans="1:41" s="20" customFormat="1" ht="12.75" customHeight="1">
      <c r="A294" s="4"/>
      <c r="B294" s="41" t="s">
        <v>733</v>
      </c>
      <c r="C294" s="41"/>
      <c r="D294" s="41"/>
      <c r="E294" s="41"/>
      <c r="F294" s="41"/>
      <c r="G294"/>
      <c r="H294" s="1085" t="s">
        <v>2447</v>
      </c>
      <c r="I294" s="1085"/>
      <c r="J294" s="1085"/>
      <c r="K294" s="1085"/>
      <c r="L294" s="1085"/>
      <c r="M294" s="1085"/>
      <c r="N294" s="1085"/>
      <c r="O294" s="1085"/>
      <c r="P294" s="1085"/>
      <c r="Q294" s="1085"/>
      <c r="R294" s="1085"/>
      <c r="S294"/>
      <c r="T294" s="41" t="s">
        <v>733</v>
      </c>
      <c r="U294"/>
      <c r="V294" s="41"/>
      <c r="W294" s="41"/>
      <c r="X294" s="41"/>
      <c r="Y294" s="41"/>
      <c r="Z294"/>
      <c r="AA294" s="1085" t="s">
        <v>2450</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2438</v>
      </c>
      <c r="I295" s="1085"/>
      <c r="J295" s="1085"/>
      <c r="K295" s="1085"/>
      <c r="L295" s="1085"/>
      <c r="M295" s="1085"/>
      <c r="N295" s="1085"/>
      <c r="O295" s="1085"/>
      <c r="P295" s="1085"/>
      <c r="Q295" s="1085"/>
      <c r="R295" s="1085"/>
      <c r="S295"/>
      <c r="T295" s="41" t="s">
        <v>107</v>
      </c>
      <c r="U295"/>
      <c r="V295" s="41"/>
      <c r="W295" s="41"/>
      <c r="X295" s="41"/>
      <c r="Y295" s="41"/>
      <c r="Z295"/>
      <c r="AA295" s="1085" t="s">
        <v>2438</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2448</v>
      </c>
      <c r="I296" s="1085"/>
      <c r="J296" s="1085"/>
      <c r="K296" s="1085"/>
      <c r="L296" s="1085"/>
      <c r="M296" s="1085"/>
      <c r="N296" s="1085"/>
      <c r="O296" s="1085"/>
      <c r="P296" s="1085"/>
      <c r="Q296" s="1085"/>
      <c r="R296" s="1085"/>
      <c r="S296"/>
      <c r="T296" s="41" t="s">
        <v>398</v>
      </c>
      <c r="U296"/>
      <c r="V296" s="41"/>
      <c r="W296" s="41"/>
      <c r="X296" s="41"/>
      <c r="Y296" s="41"/>
      <c r="Z296"/>
      <c r="AA296" s="1085" t="s">
        <v>2435</v>
      </c>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28" t="s">
        <v>2455</v>
      </c>
      <c r="I297" s="1107"/>
      <c r="J297" s="1107"/>
      <c r="K297" s="1107"/>
      <c r="L297" s="1107"/>
      <c r="M297" s="1107"/>
      <c r="N297" s="5" t="s">
        <v>857</v>
      </c>
      <c r="O297" s="5"/>
      <c r="P297" s="1110"/>
      <c r="Q297" s="1110"/>
      <c r="R297" s="1110"/>
      <c r="S297" s="41"/>
      <c r="T297" s="41" t="s">
        <v>399</v>
      </c>
      <c r="U297"/>
      <c r="V297" s="41"/>
      <c r="W297" s="41"/>
      <c r="X297" s="41"/>
      <c r="Y297" s="41"/>
      <c r="Z297"/>
      <c r="AA297" s="1128" t="s">
        <v>2456</v>
      </c>
      <c r="AB297" s="1107"/>
      <c r="AC297" s="1107"/>
      <c r="AD297" s="1107"/>
      <c r="AE297" s="1107"/>
      <c r="AF297" s="1107"/>
      <c r="AG297" s="5" t="s">
        <v>857</v>
      </c>
      <c r="AH297" s="5"/>
      <c r="AI297" s="1110"/>
      <c r="AJ297" s="1110"/>
      <c r="AK297" s="1110"/>
      <c r="AL297" s="10"/>
      <c r="AN297" s="281"/>
    </row>
    <row r="298" spans="1:41" s="4" customFormat="1" ht="12.75" customHeight="1">
      <c r="B298" s="41" t="s">
        <v>96</v>
      </c>
      <c r="C298" s="41"/>
      <c r="D298" s="41"/>
      <c r="E298" s="41"/>
      <c r="F298" s="41"/>
      <c r="G298" s="41"/>
      <c r="H298" s="1085" t="s">
        <v>368</v>
      </c>
      <c r="I298" s="1085"/>
      <c r="J298" s="1085"/>
      <c r="K298" s="1085"/>
      <c r="L298" s="1085"/>
      <c r="M298" s="1085"/>
      <c r="N298" s="1085"/>
      <c r="O298" s="1085"/>
      <c r="P298" s="1085"/>
      <c r="Q298" s="1085"/>
      <c r="R298" s="1085"/>
      <c r="S298" s="41"/>
      <c r="T298" s="41" t="s">
        <v>96</v>
      </c>
      <c r="U298"/>
      <c r="V298" s="41"/>
      <c r="W298" s="41"/>
      <c r="X298" s="41"/>
      <c r="Y298" s="41"/>
      <c r="Z298"/>
      <c r="AA298" s="1085" t="s">
        <v>103</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2453</v>
      </c>
      <c r="I299" s="1085"/>
      <c r="J299" s="1085"/>
      <c r="K299" s="1085"/>
      <c r="L299" s="1085"/>
      <c r="M299" s="1085"/>
      <c r="N299" s="1085"/>
      <c r="O299" s="1085"/>
      <c r="P299" s="1085"/>
      <c r="Q299" s="1085"/>
      <c r="R299" s="1085"/>
      <c r="S299" s="41"/>
      <c r="T299" s="41" t="s">
        <v>98</v>
      </c>
      <c r="U299"/>
      <c r="V299" s="41"/>
      <c r="W299" s="41"/>
      <c r="X299" s="41"/>
      <c r="Y299" s="41"/>
      <c r="Z299"/>
      <c r="AA299" s="1085" t="s">
        <v>2451</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8" t="s">
        <v>2454</v>
      </c>
      <c r="I300" s="1708"/>
      <c r="J300" s="1708"/>
      <c r="K300" s="1708"/>
      <c r="L300" s="1708"/>
      <c r="M300" s="1708"/>
      <c r="N300" s="1708"/>
      <c r="O300" s="1708"/>
      <c r="P300" s="1708"/>
      <c r="Q300" s="1708"/>
      <c r="R300" s="1708"/>
      <c r="S300" s="41"/>
      <c r="T300" s="41" t="s">
        <v>109</v>
      </c>
      <c r="U300" s="41"/>
      <c r="V300" s="41"/>
      <c r="W300" s="41"/>
      <c r="X300" s="41"/>
      <c r="Y300" s="41"/>
      <c r="Z300" s="12"/>
      <c r="AA300" s="1708" t="s">
        <v>2452</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t="s">
        <v>2457</v>
      </c>
      <c r="I302" s="1084"/>
      <c r="J302" s="1084"/>
      <c r="K302" s="1084"/>
      <c r="L302" s="1084"/>
      <c r="M302" s="1084"/>
      <c r="N302" s="1084"/>
      <c r="O302" s="1084"/>
      <c r="P302" s="1084"/>
      <c r="Q302" s="1084"/>
      <c r="R302" s="1084"/>
      <c r="S302"/>
      <c r="T302" s="41" t="s">
        <v>97</v>
      </c>
      <c r="U302"/>
      <c r="V302" s="41"/>
      <c r="W302" s="41"/>
      <c r="X302" s="41"/>
      <c r="Y302" s="41"/>
      <c r="Z302"/>
      <c r="AA302" s="1084" t="s">
        <v>2463</v>
      </c>
      <c r="AB302" s="1084"/>
      <c r="AC302" s="1084"/>
      <c r="AD302" s="1084"/>
      <c r="AE302" s="1084"/>
      <c r="AF302" s="1084"/>
      <c r="AG302" s="1084"/>
      <c r="AH302" s="1084"/>
      <c r="AI302" s="1084"/>
      <c r="AJ302" s="1084"/>
      <c r="AK302" s="1084"/>
      <c r="AL302" s="10"/>
      <c r="AN302" s="281"/>
    </row>
    <row r="303" spans="1:41" s="4" customFormat="1" ht="12.75" customHeight="1">
      <c r="B303" s="41" t="s">
        <v>733</v>
      </c>
      <c r="C303" s="41"/>
      <c r="D303" s="41"/>
      <c r="E303" s="41"/>
      <c r="F303" s="41"/>
      <c r="G303"/>
      <c r="H303" s="1085" t="s">
        <v>2458</v>
      </c>
      <c r="I303" s="1085"/>
      <c r="J303" s="1085"/>
      <c r="K303" s="1085"/>
      <c r="L303" s="1085"/>
      <c r="M303" s="1085"/>
      <c r="N303" s="1085"/>
      <c r="O303" s="1085"/>
      <c r="P303" s="1085"/>
      <c r="Q303" s="1085"/>
      <c r="R303" s="1085"/>
      <c r="S303"/>
      <c r="T303" s="41" t="s">
        <v>733</v>
      </c>
      <c r="U303"/>
      <c r="V303" s="41"/>
      <c r="W303" s="41"/>
      <c r="X303" s="41"/>
      <c r="Y303" s="41"/>
      <c r="Z303"/>
      <c r="AA303" s="1085" t="s">
        <v>2464</v>
      </c>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t="s">
        <v>2438</v>
      </c>
      <c r="I304" s="1085"/>
      <c r="J304" s="1085"/>
      <c r="K304" s="1085"/>
      <c r="L304" s="1085"/>
      <c r="M304" s="1085"/>
      <c r="N304" s="1085"/>
      <c r="O304" s="1085"/>
      <c r="P304" s="1085"/>
      <c r="Q304" s="1085"/>
      <c r="R304" s="1085"/>
      <c r="S304"/>
      <c r="T304" s="41" t="s">
        <v>107</v>
      </c>
      <c r="U304"/>
      <c r="V304" s="41"/>
      <c r="W304" s="41"/>
      <c r="X304" s="41"/>
      <c r="Y304" s="41"/>
      <c r="Z304"/>
      <c r="AA304" s="1085" t="s">
        <v>2438</v>
      </c>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t="s">
        <v>2448</v>
      </c>
      <c r="I305" s="1085"/>
      <c r="J305" s="1085"/>
      <c r="K305" s="1085"/>
      <c r="L305" s="1085"/>
      <c r="M305" s="1085"/>
      <c r="N305" s="1085"/>
      <c r="O305" s="1085"/>
      <c r="P305" s="1085"/>
      <c r="Q305" s="1085"/>
      <c r="R305" s="1085"/>
      <c r="S305"/>
      <c r="T305" s="41" t="s">
        <v>398</v>
      </c>
      <c r="U305"/>
      <c r="V305" s="41"/>
      <c r="W305" s="41"/>
      <c r="X305" s="41"/>
      <c r="Y305" s="41"/>
      <c r="Z305"/>
      <c r="AA305" s="1085" t="s">
        <v>2465</v>
      </c>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28" t="s">
        <v>2461</v>
      </c>
      <c r="I306" s="1107"/>
      <c r="J306" s="1107"/>
      <c r="K306" s="1107"/>
      <c r="L306" s="1107"/>
      <c r="M306" s="1107"/>
      <c r="N306" s="5" t="s">
        <v>857</v>
      </c>
      <c r="O306" s="5"/>
      <c r="P306" s="1110"/>
      <c r="Q306" s="1110"/>
      <c r="R306" s="1110"/>
      <c r="S306" s="41"/>
      <c r="T306" s="41" t="s">
        <v>399</v>
      </c>
      <c r="U306"/>
      <c r="V306" s="41"/>
      <c r="W306" s="41"/>
      <c r="X306" s="41"/>
      <c r="Y306" s="41"/>
      <c r="Z306"/>
      <c r="AA306" s="1128" t="s">
        <v>2462</v>
      </c>
      <c r="AB306" s="1107"/>
      <c r="AC306" s="1107"/>
      <c r="AD306" s="1107"/>
      <c r="AE306" s="1107"/>
      <c r="AF306" s="1107"/>
      <c r="AG306" s="5" t="s">
        <v>857</v>
      </c>
      <c r="AH306" s="5"/>
      <c r="AI306" s="1110"/>
      <c r="AJ306" s="1110"/>
      <c r="AK306" s="1110"/>
      <c r="AL306" s="10"/>
      <c r="AN306" s="281"/>
    </row>
    <row r="307" spans="2:40" s="4" customFormat="1" ht="12.75" customHeight="1">
      <c r="B307" s="41" t="s">
        <v>96</v>
      </c>
      <c r="C307" s="41"/>
      <c r="D307" s="41"/>
      <c r="E307" s="41"/>
      <c r="F307" s="41"/>
      <c r="G307" s="41"/>
      <c r="H307" s="1085" t="s">
        <v>104</v>
      </c>
      <c r="I307" s="1085"/>
      <c r="J307" s="1085"/>
      <c r="K307" s="1085"/>
      <c r="L307" s="1085"/>
      <c r="M307" s="1085"/>
      <c r="N307" s="1085"/>
      <c r="O307" s="1085"/>
      <c r="P307" s="1085"/>
      <c r="Q307" s="1085"/>
      <c r="R307" s="1085"/>
      <c r="S307" s="41"/>
      <c r="T307" s="41" t="s">
        <v>96</v>
      </c>
      <c r="U307"/>
      <c r="V307" s="41"/>
      <c r="W307" s="41"/>
      <c r="X307" s="41"/>
      <c r="Y307" s="41"/>
      <c r="Z307"/>
      <c r="AA307" s="1085" t="s">
        <v>101</v>
      </c>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t="s">
        <v>2459</v>
      </c>
      <c r="I308" s="1085"/>
      <c r="J308" s="1085"/>
      <c r="K308" s="1085"/>
      <c r="L308" s="1085"/>
      <c r="M308" s="1085"/>
      <c r="N308" s="1085"/>
      <c r="O308" s="1085"/>
      <c r="P308" s="1085"/>
      <c r="Q308" s="1085"/>
      <c r="R308" s="1085"/>
      <c r="S308" s="41"/>
      <c r="T308" s="41" t="s">
        <v>98</v>
      </c>
      <c r="U308"/>
      <c r="V308" s="41"/>
      <c r="W308" s="41"/>
      <c r="X308" s="41"/>
      <c r="Y308" s="41"/>
      <c r="Z308"/>
      <c r="AA308" s="1085" t="s">
        <v>2466</v>
      </c>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8" t="s">
        <v>2460</v>
      </c>
      <c r="I309" s="1708"/>
      <c r="J309" s="1708"/>
      <c r="K309" s="1708"/>
      <c r="L309" s="1708"/>
      <c r="M309" s="1708"/>
      <c r="N309" s="1708"/>
      <c r="O309" s="1708"/>
      <c r="P309" s="1708"/>
      <c r="Q309" s="1708"/>
      <c r="R309" s="1708"/>
      <c r="S309" s="41"/>
      <c r="T309" s="41" t="s">
        <v>109</v>
      </c>
      <c r="U309" s="41"/>
      <c r="V309" s="41"/>
      <c r="W309" s="41"/>
      <c r="X309" s="41"/>
      <c r="Y309" s="41"/>
      <c r="Z309" s="12"/>
      <c r="AA309" s="1708" t="s">
        <v>2467</v>
      </c>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733</v>
      </c>
      <c r="C312" s="41"/>
      <c r="D312" s="41"/>
      <c r="E312" s="41"/>
      <c r="F312" s="41"/>
      <c r="G312"/>
      <c r="H312" s="1085"/>
      <c r="I312" s="1085"/>
      <c r="J312" s="1085"/>
      <c r="K312" s="1085"/>
      <c r="L312" s="1085"/>
      <c r="M312" s="1085"/>
      <c r="N312" s="1085"/>
      <c r="O312" s="1085"/>
      <c r="P312" s="1085"/>
      <c r="Q312" s="1085"/>
      <c r="R312" s="1085"/>
      <c r="S312"/>
      <c r="T312" s="41" t="s">
        <v>733</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7"/>
      <c r="I315" s="1107"/>
      <c r="J315" s="1107"/>
      <c r="K315" s="1107"/>
      <c r="L315" s="1107"/>
      <c r="M315" s="1107"/>
      <c r="N315" s="5" t="s">
        <v>857</v>
      </c>
      <c r="O315" s="5"/>
      <c r="P315" s="1110"/>
      <c r="Q315" s="1110"/>
      <c r="R315" s="1110"/>
      <c r="S315" s="41"/>
      <c r="T315" s="41" t="s">
        <v>399</v>
      </c>
      <c r="U315"/>
      <c r="V315" s="41"/>
      <c r="W315" s="41"/>
      <c r="X315" s="41"/>
      <c r="Y315" s="41"/>
      <c r="Z315"/>
      <c r="AA315" s="1107"/>
      <c r="AB315" s="1107"/>
      <c r="AC315" s="1107"/>
      <c r="AD315" s="1107"/>
      <c r="AE315" s="1107"/>
      <c r="AF315" s="1107"/>
      <c r="AG315" s="5" t="s">
        <v>857</v>
      </c>
      <c r="AH315" s="5"/>
      <c r="AI315" s="1110"/>
      <c r="AJ315" s="1110"/>
      <c r="AK315" s="1110"/>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8"/>
      <c r="I318" s="1708"/>
      <c r="J318" s="1708"/>
      <c r="K318" s="1708"/>
      <c r="L318" s="1708"/>
      <c r="M318" s="1708"/>
      <c r="N318" s="1708"/>
      <c r="O318" s="1708"/>
      <c r="P318" s="1708"/>
      <c r="Q318" s="1708"/>
      <c r="R318" s="1708"/>
      <c r="S318" s="41"/>
      <c r="T318" s="41" t="s">
        <v>109</v>
      </c>
      <c r="U318" s="41"/>
      <c r="V318" s="41"/>
      <c r="W318" s="41"/>
      <c r="X318" s="41"/>
      <c r="Y318" s="41"/>
      <c r="Z318" s="12"/>
      <c r="AA318" s="1708"/>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733</v>
      </c>
      <c r="C321" s="41"/>
      <c r="D321" s="41"/>
      <c r="E321" s="41"/>
      <c r="F321" s="41"/>
      <c r="G321"/>
      <c r="H321" s="1085"/>
      <c r="I321" s="1085"/>
      <c r="J321" s="1085"/>
      <c r="K321" s="1085"/>
      <c r="L321" s="1085"/>
      <c r="M321" s="1085"/>
      <c r="N321" s="1085"/>
      <c r="O321" s="1085"/>
      <c r="P321" s="1085"/>
      <c r="Q321" s="1085"/>
      <c r="R321" s="1085"/>
      <c r="S321"/>
      <c r="T321" s="41" t="s">
        <v>733</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7"/>
      <c r="I324" s="1107"/>
      <c r="J324" s="1107"/>
      <c r="K324" s="1107"/>
      <c r="L324" s="1107"/>
      <c r="M324" s="1107"/>
      <c r="N324" s="5" t="s">
        <v>857</v>
      </c>
      <c r="O324" s="5"/>
      <c r="P324" s="1110"/>
      <c r="Q324" s="1110"/>
      <c r="R324" s="1110"/>
      <c r="S324" s="41"/>
      <c r="T324" s="41" t="s">
        <v>399</v>
      </c>
      <c r="U324"/>
      <c r="V324" s="41"/>
      <c r="W324" s="41"/>
      <c r="X324" s="41"/>
      <c r="Y324" s="41"/>
      <c r="Z324"/>
      <c r="AA324" s="1107"/>
      <c r="AB324" s="1107"/>
      <c r="AC324" s="1107"/>
      <c r="AD324" s="1107"/>
      <c r="AE324" s="1107"/>
      <c r="AF324" s="1107"/>
      <c r="AG324" s="5" t="s">
        <v>857</v>
      </c>
      <c r="AH324" s="5"/>
      <c r="AI324" s="1110"/>
      <c r="AJ324" s="1110"/>
      <c r="AK324" s="1110"/>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8"/>
      <c r="I327" s="1708"/>
      <c r="J327" s="1708"/>
      <c r="K327" s="1708"/>
      <c r="L327" s="1708"/>
      <c r="M327" s="1708"/>
      <c r="N327" s="1708"/>
      <c r="O327" s="1708"/>
      <c r="P327" s="1708"/>
      <c r="Q327" s="1708"/>
      <c r="R327" s="1708"/>
      <c r="S327" s="41"/>
      <c r="T327" s="41" t="s">
        <v>109</v>
      </c>
      <c r="U327" s="41"/>
      <c r="V327" s="41"/>
      <c r="W327" s="41"/>
      <c r="X327" s="41"/>
      <c r="Y327" s="41"/>
      <c r="Z327" s="12"/>
      <c r="AA327" s="1708"/>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6" t="s">
        <v>388</v>
      </c>
      <c r="AF330" s="1676"/>
      <c r="AG330" s="1676"/>
      <c r="AH330" s="1676"/>
      <c r="AI330" s="1676"/>
      <c r="AJ330" s="1676"/>
      <c r="AK330" s="1676"/>
      <c r="AL330" s="3"/>
      <c r="AM330" s="834"/>
      <c r="AN330" s="3"/>
    </row>
    <row r="331" spans="1:76" s="4" customFormat="1" ht="12.75" customHeight="1">
      <c r="A331" s="3"/>
      <c r="B331" s="5"/>
      <c r="C331" s="1709" t="s">
        <v>1916</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1917</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4"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1918</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1919</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1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8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5" t="s">
        <v>942</v>
      </c>
      <c r="AP351" s="71">
        <f>IF(C376="Yes",5,0)</f>
        <v>5</v>
      </c>
      <c r="AS351" s="3" t="s">
        <v>1850</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5"/>
      <c r="AP352" s="71"/>
      <c r="AS352" s="1855">
        <f>IF(AQ365=0,AQ378,AQ365)</f>
        <v>10</v>
      </c>
      <c r="AT352" s="1855"/>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5" t="s">
        <v>943</v>
      </c>
      <c r="AP353" s="71">
        <f>IF(C386="Yes",5,0)</f>
        <v>0</v>
      </c>
      <c r="AS353" s="3" t="s">
        <v>1883</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5"/>
      <c r="AP354" s="71"/>
      <c r="AS354" s="1855">
        <f>IF(AND(AQ365&gt;0,AQ378&gt;0),(AQ365+AQ378)/2,0)</f>
        <v>0</v>
      </c>
      <c r="AT354" s="1855"/>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5" t="s">
        <v>949</v>
      </c>
      <c r="AP355" s="71">
        <f>IF(C396="Yes",7,0)</f>
        <v>0</v>
      </c>
    </row>
    <row r="356" spans="1:46" s="4" customFormat="1" ht="12.75" customHeight="1">
      <c r="A356" s="27"/>
      <c r="B356" s="26"/>
      <c r="C356" s="1709" t="s">
        <v>1920</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5</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5" t="s">
        <v>459</v>
      </c>
      <c r="AP358" s="71">
        <f>IF(C406="Yes",5,0)</f>
        <v>0</v>
      </c>
    </row>
    <row r="359" spans="1:46" s="4" customFormat="1" ht="11.8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0</v>
      </c>
    </row>
    <row r="360" spans="1:46" s="4" customFormat="1" ht="12.4"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5"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5" t="s">
        <v>462</v>
      </c>
      <c r="AP362" s="71">
        <f>IF(C420="Yes",5,0)</f>
        <v>0</v>
      </c>
    </row>
    <row r="363" spans="1:46" s="4" customFormat="1" ht="12.75" customHeight="1">
      <c r="A363" s="27"/>
      <c r="B363" s="26"/>
      <c r="C363" s="1709" t="s">
        <v>1921</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6"/>
      <c r="AP364" s="55"/>
    </row>
    <row r="365" spans="1:46" s="4" customFormat="1" ht="68.099999999999994"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7" t="s">
        <v>644</v>
      </c>
      <c r="AP365" s="168">
        <f>SUM(AP351:AP364)</f>
        <v>10</v>
      </c>
      <c r="AQ365" s="1223">
        <f>IF(AP365&gt;0,AP365,0)</f>
        <v>10</v>
      </c>
      <c r="AR365" s="1223"/>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5">
        <f>Application!CQ636-U368</f>
        <v>58</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3" t="s">
        <v>1859</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116</v>
      </c>
      <c r="D376" s="1109"/>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1858</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09"/>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6"/>
      <c r="D388" s="127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6" t="s">
        <v>2041</v>
      </c>
      <c r="G391" s="1856"/>
      <c r="H391" s="1856"/>
      <c r="I391" s="1856"/>
      <c r="J391" s="1856"/>
      <c r="K391" s="1856"/>
      <c r="L391" s="1856"/>
      <c r="M391" s="1856"/>
      <c r="N391" s="1856"/>
      <c r="O391" s="1856"/>
      <c r="P391" s="1856"/>
      <c r="Q391" s="1856"/>
      <c r="R391" s="1856"/>
      <c r="S391" s="1856"/>
      <c r="T391" s="1856"/>
      <c r="U391" s="1856"/>
      <c r="V391" s="1856"/>
      <c r="W391" s="1856"/>
      <c r="X391" s="1856"/>
      <c r="Y391" s="1856"/>
      <c r="Z391" s="1856"/>
      <c r="AA391" s="1856"/>
      <c r="AB391" s="1856"/>
      <c r="AC391" s="1856"/>
      <c r="AD391" s="1856"/>
      <c r="AE391" s="1856"/>
      <c r="AF391" s="185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132</v>
      </c>
      <c r="D396" s="1109"/>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1005</v>
      </c>
      <c r="AG396" s="1580"/>
      <c r="AH396" s="1580"/>
      <c r="AI396" s="1580"/>
      <c r="AJ396" s="1580"/>
      <c r="AK396" s="1580"/>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116</v>
      </c>
      <c r="D398" s="1109"/>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1857</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09"/>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132</v>
      </c>
      <c r="D408" s="1109"/>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1004</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09"/>
      <c r="E411" s="705" t="s">
        <v>204</v>
      </c>
      <c r="F411" s="1693" t="s">
        <v>1861</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1863</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2"/>
      <c r="AM417"/>
    </row>
    <row r="418" spans="1:60" s="4" customFormat="1" ht="12.75" customHeight="1">
      <c r="A418" s="5"/>
      <c r="B418" s="21"/>
      <c r="C418" s="711"/>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2"/>
      <c r="AM418"/>
      <c r="AN418" s="281"/>
    </row>
    <row r="419" spans="1:60" s="4" customFormat="1" ht="12.75" customHeight="1">
      <c r="A419" s="5"/>
      <c r="B419" s="21"/>
      <c r="C419" s="714"/>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2"/>
      <c r="AM419"/>
      <c r="AN419" s="281"/>
    </row>
    <row r="420" spans="1:60" s="4" customFormat="1" ht="12.75" customHeight="1">
      <c r="A420" s="5"/>
      <c r="B420" s="21"/>
      <c r="C420" s="1697" t="s">
        <v>132</v>
      </c>
      <c r="D420" s="1109"/>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4"/>
      <c r="AL421" s="712"/>
      <c r="AM421"/>
      <c r="AN421" s="281"/>
    </row>
    <row r="422" spans="1:60" s="4" customFormat="1" ht="12.75" customHeight="1">
      <c r="A422" s="5"/>
      <c r="B422" s="21"/>
      <c r="C422" s="1697" t="s">
        <v>132</v>
      </c>
      <c r="D422" s="1109"/>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1004</v>
      </c>
      <c r="AG422" s="1678"/>
      <c r="AH422" s="1678"/>
      <c r="AI422" s="1678"/>
      <c r="AJ422" s="1678"/>
      <c r="AK422" s="1678"/>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3" t="s">
        <v>1864</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2"/>
      <c r="AM427"/>
      <c r="AN427" s="281"/>
    </row>
    <row r="428" spans="1:60" s="4" customFormat="1" ht="12.4" customHeight="1">
      <c r="A428" s="5"/>
      <c r="B428" s="73"/>
      <c r="C428" s="729"/>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2"/>
      <c r="AM428"/>
      <c r="AN428" s="281"/>
    </row>
    <row r="429" spans="1:60" s="4" customFormat="1" ht="12.75" customHeight="1">
      <c r="A429" s="5"/>
      <c r="B429" s="73"/>
      <c r="C429" s="1697" t="s">
        <v>132</v>
      </c>
      <c r="D429" s="1109"/>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3" t="s">
        <v>1865</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1"/>
      <c r="AM433"/>
      <c r="AO433" s="4"/>
      <c r="AP433" s="4"/>
    </row>
    <row r="434" spans="1:49" s="4" customFormat="1" ht="12.75" customHeight="1">
      <c r="A434" s="5"/>
      <c r="B434" s="73"/>
      <c r="C434" s="729"/>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1"/>
      <c r="AM434"/>
      <c r="AN434" s="281"/>
    </row>
    <row r="435" spans="1:49" s="4" customFormat="1" ht="12.75" customHeight="1">
      <c r="A435" s="5"/>
      <c r="B435" s="73"/>
      <c r="C435" s="730"/>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1"/>
      <c r="AM436"/>
      <c r="AN436" s="281"/>
    </row>
    <row r="437" spans="1:49" s="4" customFormat="1" ht="12.75" customHeight="1">
      <c r="A437" s="5"/>
      <c r="B437" s="73"/>
      <c r="C437" s="730"/>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1"/>
      <c r="AM437"/>
      <c r="AN437" s="281"/>
    </row>
    <row r="438" spans="1:49" s="4" customFormat="1" ht="12.75" customHeight="1">
      <c r="A438" s="5"/>
      <c r="B438" s="73"/>
      <c r="C438" s="730"/>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1"/>
      <c r="AM438"/>
      <c r="AN438" s="281"/>
    </row>
    <row r="439" spans="1:49" s="4" customFormat="1" ht="12.75" customHeight="1">
      <c r="A439" s="5"/>
      <c r="B439" s="73"/>
      <c r="C439" s="730"/>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1"/>
      <c r="AM439"/>
      <c r="AN439" s="281"/>
    </row>
    <row r="440" spans="1:49" s="4" customFormat="1" ht="17.25" customHeight="1">
      <c r="A440" s="5"/>
      <c r="B440" s="73"/>
      <c r="C440" s="730"/>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2"/>
      <c r="AM440"/>
      <c r="AN440" s="281"/>
    </row>
    <row r="441" spans="1:49" s="4" customFormat="1" ht="12.75" customHeight="1">
      <c r="A441" s="5"/>
      <c r="B441" s="21"/>
      <c r="C441" s="1697" t="s">
        <v>132</v>
      </c>
      <c r="D441" s="1109"/>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3" t="s">
        <v>1868</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8"/>
      <c r="AM445"/>
      <c r="AN445" s="281"/>
    </row>
    <row r="446" spans="1:49" s="4" customFormat="1" ht="12.75" customHeight="1">
      <c r="A446" s="5"/>
      <c r="B446" s="73"/>
      <c r="C446" s="730"/>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8"/>
      <c r="AM446"/>
      <c r="AN446" s="281"/>
    </row>
    <row r="447" spans="1:49" s="4" customFormat="1" ht="12.75" customHeight="1">
      <c r="A447" s="5"/>
      <c r="B447" s="73"/>
      <c r="C447" s="730"/>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2"/>
      <c r="AM447"/>
      <c r="AN447" s="281"/>
    </row>
    <row r="448" spans="1:49" s="4" customFormat="1" ht="12.75" customHeight="1">
      <c r="A448" s="5"/>
      <c r="B448" s="73"/>
      <c r="C448" s="1697" t="s">
        <v>132</v>
      </c>
      <c r="D448" s="1109"/>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1009</v>
      </c>
      <c r="F452" s="1693" t="s">
        <v>1011</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2" t="s">
        <v>132</v>
      </c>
      <c r="D456" s="1683"/>
      <c r="E456" s="705" t="s">
        <v>1010</v>
      </c>
      <c r="F456" s="1693" t="s">
        <v>1905</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1386</v>
      </c>
      <c r="AP456" s="4">
        <v>5</v>
      </c>
      <c r="AQ456" s="5"/>
    </row>
    <row r="457" spans="1:54" s="4" customFormat="1" ht="12.75" customHeight="1">
      <c r="A457" s="5"/>
      <c r="B457" s="21"/>
      <c r="C457" s="711"/>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2"/>
      <c r="AM457"/>
      <c r="AN457" s="677"/>
      <c r="AO457" s="4" t="s">
        <v>1382</v>
      </c>
      <c r="AP457" s="4">
        <v>5</v>
      </c>
    </row>
    <row r="458" spans="1:54" s="4" customFormat="1" ht="12.75" customHeight="1">
      <c r="A458" s="5"/>
      <c r="B458" s="21"/>
      <c r="C458" s="711"/>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2"/>
      <c r="AM458"/>
      <c r="AN458" s="677"/>
      <c r="AO458" s="4" t="s">
        <v>1383</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3" t="s">
        <v>1906</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2"/>
      <c r="AM462"/>
      <c r="AN462" s="281"/>
      <c r="AS462" s="346"/>
      <c r="AW462" s="346" t="s">
        <v>1017</v>
      </c>
      <c r="BA462" s="346" t="s">
        <v>1018</v>
      </c>
    </row>
    <row r="463" spans="1:54" s="4" customFormat="1" ht="12.75" customHeight="1">
      <c r="A463" s="5"/>
      <c r="B463" s="21"/>
      <c r="C463" s="714"/>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97" t="s">
        <v>132</v>
      </c>
      <c r="D465" s="1109"/>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80" t="s">
        <v>1308</v>
      </c>
      <c r="AF474" s="1580"/>
      <c r="AG474" s="1580"/>
      <c r="AH474" s="1580"/>
      <c r="AI474" s="1580"/>
      <c r="AJ474" s="1580"/>
      <c r="AK474" s="1580"/>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0" t="s">
        <v>132</v>
      </c>
      <c r="D480" s="1701"/>
      <c r="E480" s="756" t="s">
        <v>206</v>
      </c>
      <c r="F480" s="1690" t="s">
        <v>1014</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1385</v>
      </c>
      <c r="AP481" s="4">
        <v>1</v>
      </c>
    </row>
    <row r="482" spans="1:49" s="4" customFormat="1" ht="12.75" hidden="1" customHeight="1">
      <c r="C482" s="734"/>
      <c r="D482" s="721"/>
      <c r="E482" s="735"/>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3" t="s">
        <v>132</v>
      </c>
      <c r="W500" s="1663"/>
      <c r="X500" s="1663"/>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7" t="s">
        <v>691</v>
      </c>
      <c r="AV501" s="1858"/>
      <c r="AW501" s="1858"/>
      <c r="AX501" s="1858"/>
      <c r="AY501" s="1858"/>
      <c r="AZ501" s="1858"/>
      <c r="BA501" s="1858"/>
      <c r="BB501" s="20"/>
      <c r="BC501" s="20"/>
      <c r="BE501" s="4"/>
      <c r="BF501" s="4"/>
      <c r="BG501" s="4"/>
      <c r="BH501" s="4"/>
      <c r="BI501" s="4"/>
      <c r="BJ501" s="1800" t="s">
        <v>34</v>
      </c>
      <c r="BK501" s="1801"/>
      <c r="BL501" s="1801"/>
      <c r="BM501" s="1801"/>
      <c r="BN501" s="1801"/>
      <c r="BO501" s="1801"/>
      <c r="BP501" s="180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7"/>
      <c r="AV502" s="1858"/>
      <c r="AW502" s="1858"/>
      <c r="AX502" s="1858"/>
      <c r="AY502" s="1858"/>
      <c r="AZ502" s="1858"/>
      <c r="BA502" s="1858"/>
      <c r="BB502" s="20"/>
      <c r="BC502" s="20"/>
      <c r="BE502" s="4"/>
      <c r="BF502" s="4"/>
      <c r="BG502" s="4"/>
      <c r="BH502" s="4"/>
      <c r="BI502" s="4"/>
      <c r="BJ502" s="1800"/>
      <c r="BK502" s="1801"/>
      <c r="BL502" s="1801"/>
      <c r="BM502" s="1801"/>
      <c r="BN502" s="1801"/>
      <c r="BO502" s="1801"/>
      <c r="BP502" s="1801"/>
      <c r="BQ502" s="20"/>
      <c r="BR502" s="4"/>
    </row>
    <row r="503" spans="1:147" customFormat="1" ht="12.75" hidden="1" customHeight="1">
      <c r="A503" s="120"/>
      <c r="B503" s="4"/>
      <c r="C503" s="1700" t="s">
        <v>132</v>
      </c>
      <c r="D503" s="1701"/>
      <c r="E503" s="749" t="s">
        <v>206</v>
      </c>
      <c r="F503" s="1690" t="s">
        <v>1014</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19" t="s">
        <v>1564</v>
      </c>
      <c r="AQ504" s="1120"/>
      <c r="AR504" s="1121"/>
      <c r="AS504" s="631">
        <v>80</v>
      </c>
      <c r="AT504" s="4">
        <v>0</v>
      </c>
      <c r="AU504" s="160">
        <v>10</v>
      </c>
      <c r="AV504" s="160">
        <v>25</v>
      </c>
      <c r="AW504" s="160">
        <v>37.5</v>
      </c>
      <c r="AX504" s="160">
        <v>35</v>
      </c>
      <c r="AY504" s="160">
        <v>37.5</v>
      </c>
      <c r="AZ504" s="160">
        <v>50</v>
      </c>
      <c r="BA504" s="160">
        <v>50</v>
      </c>
      <c r="BB504" s="21"/>
      <c r="BC504" s="21"/>
      <c r="BE504" s="1119" t="s">
        <v>1564</v>
      </c>
      <c r="BF504" s="1120"/>
      <c r="BG504" s="1121"/>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1016</v>
      </c>
      <c r="AI505" s="738"/>
      <c r="AJ505" s="737"/>
      <c r="AK505" s="722"/>
      <c r="AL505" s="4"/>
      <c r="AM505" s="4"/>
      <c r="AN505" s="676"/>
      <c r="AO505" s="38"/>
      <c r="AP505" s="1122"/>
      <c r="AQ505" s="1123"/>
      <c r="AR505" s="1124"/>
      <c r="AS505" s="631">
        <v>75</v>
      </c>
      <c r="AT505" s="4">
        <v>0</v>
      </c>
      <c r="AU505" s="160">
        <v>10</v>
      </c>
      <c r="AV505" s="160">
        <v>25</v>
      </c>
      <c r="AW505" s="160">
        <v>37.5</v>
      </c>
      <c r="AX505" s="160">
        <v>35</v>
      </c>
      <c r="AY505" s="160">
        <v>37.5</v>
      </c>
      <c r="AZ505" s="160">
        <v>50</v>
      </c>
      <c r="BA505" s="160">
        <v>50</v>
      </c>
      <c r="BB505" s="21"/>
      <c r="BC505" s="21"/>
      <c r="BE505" s="1122"/>
      <c r="BF505" s="1123"/>
      <c r="BG505" s="1124"/>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2"/>
      <c r="AQ506" s="1123"/>
      <c r="AR506" s="1124"/>
      <c r="AS506" s="631">
        <v>70</v>
      </c>
      <c r="AT506" s="4">
        <v>0</v>
      </c>
      <c r="AU506" s="160">
        <v>10</v>
      </c>
      <c r="AV506" s="160">
        <v>25</v>
      </c>
      <c r="AW506" s="160">
        <v>37.5</v>
      </c>
      <c r="AX506" s="160">
        <v>35</v>
      </c>
      <c r="AY506" s="160">
        <v>37.5</v>
      </c>
      <c r="AZ506" s="160">
        <v>50</v>
      </c>
      <c r="BA506" s="160">
        <v>50</v>
      </c>
      <c r="BB506" s="21"/>
      <c r="BC506" s="21"/>
      <c r="BE506" s="1122"/>
      <c r="BF506" s="1123"/>
      <c r="BG506" s="1124"/>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1204</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2"/>
      <c r="AQ507" s="1123"/>
      <c r="AR507" s="1124"/>
      <c r="AS507" s="631">
        <v>65</v>
      </c>
      <c r="AT507" s="4">
        <v>0</v>
      </c>
      <c r="AU507" s="160">
        <v>10</v>
      </c>
      <c r="AV507" s="160">
        <v>25</v>
      </c>
      <c r="AW507" s="160">
        <v>37.5</v>
      </c>
      <c r="AX507" s="160">
        <v>35</v>
      </c>
      <c r="AY507" s="160">
        <v>37.5</v>
      </c>
      <c r="AZ507" s="160">
        <v>50</v>
      </c>
      <c r="BA507" s="160">
        <v>50</v>
      </c>
      <c r="BB507" s="21"/>
      <c r="BC507" s="21"/>
      <c r="BE507" s="1122"/>
      <c r="BF507" s="1123"/>
      <c r="BG507" s="1124"/>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2"/>
      <c r="AQ508" s="1123"/>
      <c r="AR508" s="1124"/>
      <c r="AS508" s="631">
        <v>60</v>
      </c>
      <c r="AT508" s="4">
        <v>0</v>
      </c>
      <c r="AU508" s="160">
        <v>10</v>
      </c>
      <c r="AV508" s="160">
        <v>25</v>
      </c>
      <c r="AW508" s="160">
        <v>37.5</v>
      </c>
      <c r="AX508" s="160">
        <v>35</v>
      </c>
      <c r="AY508" s="160">
        <v>37.5</v>
      </c>
      <c r="AZ508" s="160">
        <v>50</v>
      </c>
      <c r="BA508" s="160">
        <v>50</v>
      </c>
      <c r="BB508" s="21"/>
      <c r="BC508" s="21"/>
      <c r="BE508" s="1122"/>
      <c r="BF508" s="1123"/>
      <c r="BG508" s="1124"/>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2"/>
      <c r="AQ509" s="1123"/>
      <c r="AR509" s="1124"/>
      <c r="AS509" s="631">
        <v>55</v>
      </c>
      <c r="AT509" s="4">
        <v>0</v>
      </c>
      <c r="AU509" s="160">
        <v>10</v>
      </c>
      <c r="AV509" s="160">
        <v>25</v>
      </c>
      <c r="AW509" s="160">
        <v>37.5</v>
      </c>
      <c r="AX509" s="160">
        <v>35</v>
      </c>
      <c r="AY509" s="160">
        <v>37.5</v>
      </c>
      <c r="AZ509" s="160">
        <v>50</v>
      </c>
      <c r="BA509" s="160">
        <v>50</v>
      </c>
      <c r="BE509" s="1122"/>
      <c r="BF509" s="1123"/>
      <c r="BG509" s="1124"/>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2"/>
      <c r="AQ510" s="1123"/>
      <c r="AR510" s="1124"/>
      <c r="AS510" s="159">
        <v>50</v>
      </c>
      <c r="AT510" s="4">
        <v>0</v>
      </c>
      <c r="AU510" s="160">
        <v>10</v>
      </c>
      <c r="AV510" s="160">
        <v>25</v>
      </c>
      <c r="AW510" s="160">
        <v>37.5</v>
      </c>
      <c r="AX510" s="160">
        <v>35</v>
      </c>
      <c r="AY510" s="160">
        <v>37.5</v>
      </c>
      <c r="AZ510" s="160">
        <v>50</v>
      </c>
      <c r="BA510" s="160">
        <v>50</v>
      </c>
      <c r="BE510" s="1122"/>
      <c r="BF510" s="1123"/>
      <c r="BG510" s="112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2"/>
      <c r="AQ511" s="1123"/>
      <c r="AR511" s="1124"/>
      <c r="AS511" s="159">
        <v>45</v>
      </c>
      <c r="AT511" s="4">
        <v>0</v>
      </c>
      <c r="AU511" s="160">
        <v>10</v>
      </c>
      <c r="AV511" s="160">
        <v>22.5</v>
      </c>
      <c r="AW511" s="160">
        <v>33.799999999999997</v>
      </c>
      <c r="AX511" s="160">
        <v>35</v>
      </c>
      <c r="AY511" s="160">
        <v>37.5</v>
      </c>
      <c r="AZ511" s="160">
        <v>50</v>
      </c>
      <c r="BA511" s="160">
        <v>50</v>
      </c>
      <c r="BE511" s="1122"/>
      <c r="BF511" s="1123"/>
      <c r="BG511" s="112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2"/>
      <c r="AQ512" s="1123"/>
      <c r="AR512" s="1124"/>
      <c r="AS512" s="159">
        <v>40</v>
      </c>
      <c r="AT512" s="4">
        <v>0</v>
      </c>
      <c r="AU512" s="160">
        <v>10</v>
      </c>
      <c r="AV512" s="160">
        <v>20</v>
      </c>
      <c r="AW512" s="160">
        <v>30</v>
      </c>
      <c r="AX512" s="160">
        <v>35</v>
      </c>
      <c r="AY512" s="160">
        <v>37.5</v>
      </c>
      <c r="AZ512" s="160">
        <v>50</v>
      </c>
      <c r="BA512" s="160">
        <v>50</v>
      </c>
      <c r="BE512" s="1122"/>
      <c r="BF512" s="1123"/>
      <c r="BG512" s="112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2"/>
      <c r="AQ513" s="1123"/>
      <c r="AR513" s="1124"/>
      <c r="AS513" s="159">
        <v>35</v>
      </c>
      <c r="AT513" s="4">
        <v>0</v>
      </c>
      <c r="AU513" s="160">
        <v>8.8000000000000007</v>
      </c>
      <c r="AV513" s="160">
        <v>17.5</v>
      </c>
      <c r="AW513" s="160">
        <v>26.3</v>
      </c>
      <c r="AX513" s="160">
        <v>35</v>
      </c>
      <c r="AY513" s="160">
        <v>37.5</v>
      </c>
      <c r="AZ513" s="160">
        <v>50</v>
      </c>
      <c r="BA513" s="160">
        <v>50</v>
      </c>
      <c r="BE513" s="1122"/>
      <c r="BF513" s="1123"/>
      <c r="BG513" s="112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3"/>
      <c r="D514" s="101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2"/>
      <c r="AQ514" s="1123"/>
      <c r="AR514" s="1124"/>
      <c r="AS514" s="159">
        <v>30</v>
      </c>
      <c r="AT514" s="4">
        <v>0</v>
      </c>
      <c r="AU514" s="160">
        <v>7.5</v>
      </c>
      <c r="AV514" s="160">
        <v>15</v>
      </c>
      <c r="AW514" s="160">
        <v>22.5</v>
      </c>
      <c r="AX514" s="160">
        <v>30</v>
      </c>
      <c r="AY514" s="160">
        <v>37.5</v>
      </c>
      <c r="AZ514" s="160">
        <v>45</v>
      </c>
      <c r="BA514" s="160">
        <v>50</v>
      </c>
      <c r="BE514" s="1122"/>
      <c r="BF514" s="1123"/>
      <c r="BG514" s="112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0" t="s">
        <v>132</v>
      </c>
      <c r="H515" s="1860"/>
      <c r="I515" s="1860"/>
      <c r="J515" s="1860"/>
      <c r="K515" s="1860"/>
      <c r="L515" s="1860"/>
      <c r="M515" s="1860"/>
      <c r="N515" s="1860"/>
      <c r="O515" s="1860"/>
      <c r="P515" s="1860"/>
      <c r="Q515" s="1860"/>
      <c r="R515" s="1860"/>
      <c r="S515" s="1860"/>
      <c r="T515" s="1860"/>
      <c r="U515" s="1860"/>
      <c r="V515" s="1860"/>
      <c r="W515" s="1860"/>
      <c r="X515" s="1860"/>
      <c r="Y515" s="1860"/>
      <c r="Z515" s="1860"/>
      <c r="AA515" s="1860"/>
      <c r="AB515" s="1860"/>
      <c r="AC515" s="1860"/>
      <c r="AD515" s="1860"/>
      <c r="AE515" s="1860"/>
      <c r="AF515" s="1860"/>
      <c r="AG515" s="4"/>
      <c r="AH515" s="4"/>
      <c r="AI515" s="4"/>
      <c r="AJ515" s="19"/>
      <c r="AK515" s="712"/>
      <c r="AL515" s="4"/>
      <c r="AM515" s="4"/>
      <c r="AN515" s="676"/>
      <c r="AP515" s="1122"/>
      <c r="AQ515" s="1123"/>
      <c r="AR515" s="1124"/>
      <c r="AS515" s="159">
        <v>25</v>
      </c>
      <c r="AT515" s="4">
        <v>0</v>
      </c>
      <c r="AU515" s="160">
        <v>6.3</v>
      </c>
      <c r="AV515" s="160">
        <v>12.5</v>
      </c>
      <c r="AW515" s="160">
        <v>18.8</v>
      </c>
      <c r="AX515" s="160">
        <v>25</v>
      </c>
      <c r="AY515" s="160">
        <v>31.3</v>
      </c>
      <c r="AZ515" s="160">
        <v>37.5</v>
      </c>
      <c r="BA515" s="160">
        <v>50</v>
      </c>
      <c r="BE515" s="1122"/>
      <c r="BF515" s="1123"/>
      <c r="BG515" s="112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2"/>
      <c r="AQ516" s="1123"/>
      <c r="AR516" s="1124"/>
      <c r="AS516" s="159">
        <v>20</v>
      </c>
      <c r="AT516" s="4">
        <v>0</v>
      </c>
      <c r="AU516" s="160">
        <v>5</v>
      </c>
      <c r="AV516" s="160">
        <v>10</v>
      </c>
      <c r="AW516" s="160">
        <v>15</v>
      </c>
      <c r="AX516" s="160">
        <v>20</v>
      </c>
      <c r="AY516" s="160">
        <v>25</v>
      </c>
      <c r="AZ516" s="160">
        <v>30</v>
      </c>
      <c r="BA516" s="160">
        <v>40</v>
      </c>
      <c r="BE516" s="1122"/>
      <c r="BF516" s="1123"/>
      <c r="BG516" s="112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1" t="s">
        <v>132</v>
      </c>
      <c r="D517" s="1862"/>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2"/>
      <c r="AQ517" s="1123"/>
      <c r="AR517" s="1124"/>
      <c r="AS517" s="159">
        <v>15</v>
      </c>
      <c r="AT517" s="4">
        <v>0</v>
      </c>
      <c r="AU517" s="160">
        <v>3.8</v>
      </c>
      <c r="AV517" s="160">
        <v>7.5</v>
      </c>
      <c r="AW517" s="160">
        <v>11.3</v>
      </c>
      <c r="AX517" s="160">
        <v>15</v>
      </c>
      <c r="AY517" s="160">
        <v>18.8</v>
      </c>
      <c r="AZ517" s="160">
        <v>22.5</v>
      </c>
      <c r="BA517" s="160">
        <v>30</v>
      </c>
      <c r="BE517" s="1122"/>
      <c r="BF517" s="1123"/>
      <c r="BG517" s="112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5"/>
      <c r="AQ518" s="1126"/>
      <c r="AR518" s="1127"/>
      <c r="AS518" s="159">
        <v>10</v>
      </c>
      <c r="AT518" s="4">
        <v>0</v>
      </c>
      <c r="AU518" s="160">
        <v>2.5</v>
      </c>
      <c r="AV518" s="160">
        <v>5</v>
      </c>
      <c r="AW518" s="160">
        <v>7.5</v>
      </c>
      <c r="AX518" s="160">
        <v>10</v>
      </c>
      <c r="AY518" s="160">
        <v>12.5</v>
      </c>
      <c r="AZ518" s="160">
        <v>15</v>
      </c>
      <c r="BA518" s="160">
        <v>20</v>
      </c>
      <c r="BE518" s="1125"/>
      <c r="BF518" s="1126"/>
      <c r="BG518" s="112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1" t="s">
        <v>132</v>
      </c>
      <c r="D521" s="1862"/>
      <c r="F521" s="502" t="s">
        <v>913</v>
      </c>
      <c r="G521" s="1667" t="s">
        <v>1025</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4">
        <f>BJ525</f>
        <v>58</v>
      </c>
      <c r="BE521" s="1854"/>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4">
        <f>SUM(E578:J586)</f>
        <v>58</v>
      </c>
      <c r="BE522" s="1854"/>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6">
        <v>0</v>
      </c>
      <c r="BK523" s="184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6">
        <f>Application!AG431</f>
        <v>0</v>
      </c>
      <c r="BK524" s="1847"/>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09"/>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6">
        <f>Application!AG433</f>
        <v>58</v>
      </c>
      <c r="BK525" s="1847"/>
      <c r="BM525" s="1741"/>
      <c r="BN525" s="1742"/>
      <c r="BO525" s="1741"/>
      <c r="BP525" s="1742"/>
      <c r="BQ525" s="1751"/>
      <c r="BR525" s="1753"/>
      <c r="BS525" s="1751"/>
      <c r="BT525" s="1753"/>
      <c r="BU525" s="1741">
        <f>IF(T607&gt;0,1,0)</f>
        <v>0</v>
      </c>
      <c r="BV525" s="1742"/>
      <c r="BW525" s="1741">
        <f>IF(Y607&gt;=0.1,1,0)</f>
        <v>0</v>
      </c>
      <c r="BX525" s="1742"/>
      <c r="BY525" s="1751"/>
      <c r="BZ525" s="1753"/>
      <c r="CA525" s="1751"/>
      <c r="CB525" s="1753"/>
      <c r="CC525" s="1741"/>
      <c r="CD525" s="1742"/>
      <c r="CE525" s="1741"/>
      <c r="CF525" s="1742"/>
      <c r="CG525"/>
      <c r="CH525"/>
      <c r="CI525"/>
      <c r="CJ525"/>
    </row>
    <row r="526" spans="1:122" s="4" customFormat="1" ht="12.75" hidden="1" customHeight="1">
      <c r="C526" s="706"/>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41"/>
      <c r="BN526" s="1742"/>
      <c r="BO526" s="1741"/>
      <c r="BP526" s="1742"/>
      <c r="BQ526" s="1751"/>
      <c r="BR526" s="1753"/>
      <c r="BS526" s="1751"/>
      <c r="BT526" s="1753"/>
      <c r="BU526" s="1741"/>
      <c r="BV526" s="1742"/>
      <c r="BW526" s="1741"/>
      <c r="BX526" s="1742"/>
      <c r="BY526" s="1751">
        <f>IF(T608&gt;0,1,0)</f>
        <v>1</v>
      </c>
      <c r="BZ526" s="1753"/>
      <c r="CA526" s="1751">
        <f>IF(Y608&gt;=0.1,1,0)</f>
        <v>1</v>
      </c>
      <c r="CB526" s="1753"/>
      <c r="CC526" s="1741"/>
      <c r="CD526" s="1742"/>
      <c r="CE526" s="1741"/>
      <c r="CF526" s="1742"/>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41"/>
      <c r="BN527" s="1742"/>
      <c r="BO527" s="1741"/>
      <c r="BP527" s="1742"/>
      <c r="BQ527" s="1751"/>
      <c r="BR527" s="1753"/>
      <c r="BS527" s="1751"/>
      <c r="BT527" s="1753"/>
      <c r="BU527" s="1741"/>
      <c r="BV527" s="1742"/>
      <c r="BW527" s="1741"/>
      <c r="BX527" s="1742"/>
      <c r="BY527" s="1751"/>
      <c r="BZ527" s="1753"/>
      <c r="CA527" s="1751"/>
      <c r="CB527" s="1753"/>
      <c r="CC527" s="1741">
        <f>IF(T609&gt;0,1,0)</f>
        <v>0</v>
      </c>
      <c r="CD527" s="1742"/>
      <c r="CE527" s="1741">
        <f>IF(Y609&gt;=0.1,1,0)</f>
        <v>0</v>
      </c>
      <c r="CF527" s="174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1">
        <f>SUM(BM523:BN527)</f>
        <v>0</v>
      </c>
      <c r="BN528" s="1742"/>
      <c r="BO528" s="1741">
        <f>SUM(BO523:BP527)</f>
        <v>0</v>
      </c>
      <c r="BP528" s="1742"/>
      <c r="BQ528" s="1741">
        <f>SUM(BQ523:BR527)</f>
        <v>0</v>
      </c>
      <c r="BR528" s="1742"/>
      <c r="BS528" s="1741">
        <f>SUM(BS523:BT527)</f>
        <v>0</v>
      </c>
      <c r="BT528" s="1742"/>
      <c r="BU528" s="1741">
        <f>SUM(BU523:BV527)</f>
        <v>0</v>
      </c>
      <c r="BV528" s="1742"/>
      <c r="BW528" s="1741">
        <f>SUM(BW523:BX527)</f>
        <v>0</v>
      </c>
      <c r="BX528" s="1742"/>
      <c r="BY528" s="1741">
        <f>SUM(BY523:BZ527)</f>
        <v>1</v>
      </c>
      <c r="BZ528" s="1742"/>
      <c r="CA528" s="1741">
        <f>SUM(CA523:CB527)</f>
        <v>1</v>
      </c>
      <c r="CB528" s="1742"/>
      <c r="CC528" s="1741">
        <f>SUM(CC523:CD527)</f>
        <v>0</v>
      </c>
      <c r="CD528" s="1742"/>
      <c r="CE528" s="1741">
        <f>SUM(CE523:CF527)</f>
        <v>0</v>
      </c>
      <c r="CF528" s="1742"/>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1" t="s">
        <v>483</v>
      </c>
      <c r="AQ529" s="1852"/>
      <c r="AR529" s="1852"/>
      <c r="AS529" s="1852"/>
      <c r="AT529" s="1853"/>
      <c r="AU529" s="1851" t="s">
        <v>484</v>
      </c>
      <c r="AV529" s="1852"/>
      <c r="AW529" s="1852"/>
      <c r="AX529" s="1852"/>
      <c r="AY529" s="1853"/>
      <c r="BM529" s="1751">
        <f>SUM(BM528:BP528)</f>
        <v>0</v>
      </c>
      <c r="BN529" s="1752"/>
      <c r="BO529" s="1752"/>
      <c r="BP529" s="1753"/>
      <c r="BQ529" s="1751">
        <f>SUM(BQ528:BT528)</f>
        <v>0</v>
      </c>
      <c r="BR529" s="1752"/>
      <c r="BS529" s="1752"/>
      <c r="BT529" s="1753"/>
      <c r="BU529" s="1751">
        <f>SUM(BU528:BX528)</f>
        <v>0</v>
      </c>
      <c r="BV529" s="1752"/>
      <c r="BW529" s="1752"/>
      <c r="BX529" s="1753"/>
      <c r="BY529" s="1751">
        <f>SUM(BY528:CB528)</f>
        <v>2</v>
      </c>
      <c r="BZ529" s="1752"/>
      <c r="CA529" s="1752"/>
      <c r="CB529" s="1753"/>
      <c r="CC529" s="1751">
        <f>SUM(CC528:CF528)</f>
        <v>0</v>
      </c>
      <c r="CD529" s="1752"/>
      <c r="CE529" s="1752"/>
      <c r="CF529" s="1753"/>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8">
        <f>RANK(T605,$T$605:$X$609,0)+COUNTIF($T$605:$X$609,T605)-1</f>
        <v>5</v>
      </c>
      <c r="AQ530" s="1849"/>
      <c r="AR530" s="1849"/>
      <c r="AS530" s="1849"/>
      <c r="AT530" s="1850"/>
      <c r="AU530" s="1848">
        <f>RANK(Y605,$Y$605:$AC$609,0)+COUNTIF($Y$605:$AC$609,Y605)-1</f>
        <v>5</v>
      </c>
      <c r="AV530" s="1849"/>
      <c r="AW530" s="1849"/>
      <c r="AX530" s="1849"/>
      <c r="AY530" s="1850"/>
      <c r="BM530" s="1751"/>
      <c r="BN530" s="1752"/>
      <c r="BO530" s="1752"/>
      <c r="BP530" s="1753"/>
      <c r="BQ530" s="1751">
        <f>IF(AND(BQ529=2,BM529=1),1,0)</f>
        <v>0</v>
      </c>
      <c r="BR530" s="1752"/>
      <c r="BS530" s="1752"/>
      <c r="BT530" s="1753"/>
      <c r="BU530" s="1751">
        <f>IF(AND(BU529=2,BQ529=1),1,0)</f>
        <v>0</v>
      </c>
      <c r="BV530" s="1752"/>
      <c r="BW530" s="1752"/>
      <c r="BX530" s="1753"/>
      <c r="BY530" s="1751">
        <f>IF(AND(BY529=2,BU529=1),1,0)</f>
        <v>0</v>
      </c>
      <c r="BZ530" s="1752"/>
      <c r="CA530" s="1752"/>
      <c r="CB530" s="1753"/>
      <c r="CC530" s="1751">
        <f>IF(AND(CC529=2,BU529=1),1,0)</f>
        <v>0</v>
      </c>
      <c r="CD530" s="1752"/>
      <c r="CE530" s="1752"/>
      <c r="CF530" s="1753"/>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8">
        <f>RANK(T606,$T$605:$X$609,0)+COUNTIF($T$605:$X$609,T606)-1</f>
        <v>5</v>
      </c>
      <c r="AQ531" s="1849"/>
      <c r="AR531" s="1849"/>
      <c r="AS531" s="1849"/>
      <c r="AT531" s="1850"/>
      <c r="AU531" s="1848">
        <f>RANK(Y606,$Y$605:$AC$609,0)+COUNTIF($Y$605:$AC$609,Y606)-1</f>
        <v>5</v>
      </c>
      <c r="AV531" s="1849"/>
      <c r="AW531" s="1849"/>
      <c r="AX531" s="1849"/>
      <c r="AY531" s="1850"/>
      <c r="BM531" s="1751"/>
      <c r="BN531" s="1752"/>
      <c r="BO531" s="1752"/>
      <c r="BP531" s="1753"/>
      <c r="BQ531" s="1751"/>
      <c r="BR531" s="1752"/>
      <c r="BS531" s="1752"/>
      <c r="BT531" s="1753"/>
      <c r="BU531" s="1751">
        <f>IF(AND(BU529=2,BM529=1),1,0)</f>
        <v>0</v>
      </c>
      <c r="BV531" s="1752"/>
      <c r="BW531" s="1752"/>
      <c r="BX531" s="1753"/>
      <c r="BY531" s="1751">
        <f>IF(AND(BY529=2,BQ529=1),1,0)</f>
        <v>0</v>
      </c>
      <c r="BZ531" s="1752"/>
      <c r="CA531" s="1752"/>
      <c r="CB531" s="1753"/>
      <c r="CC531" s="1751">
        <f>IF(AND(CC530=2,BY530=1),1,0)</f>
        <v>0</v>
      </c>
      <c r="CD531" s="1752"/>
      <c r="CE531" s="1752"/>
      <c r="CF531" s="1753"/>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8">
        <f>RANK(T607,$T$605:$X$609,0)+COUNTIF($T$605:$X$609,T607)-1</f>
        <v>5</v>
      </c>
      <c r="AQ532" s="1849"/>
      <c r="AR532" s="1849"/>
      <c r="AS532" s="1849"/>
      <c r="AT532" s="1850"/>
      <c r="AU532" s="1848">
        <f>RANK(Y607,$Y$605:$AC$609,0)+COUNTIF($Y$605:$AC$609,Y607)-1</f>
        <v>5</v>
      </c>
      <c r="AV532" s="1849"/>
      <c r="AW532" s="1849"/>
      <c r="AX532" s="1849"/>
      <c r="AY532" s="1850"/>
      <c r="BM532" s="1751"/>
      <c r="BN532" s="1752"/>
      <c r="BO532" s="1752"/>
      <c r="BP532" s="1753"/>
      <c r="BQ532" s="1751"/>
      <c r="BR532" s="1752"/>
      <c r="BS532" s="1752"/>
      <c r="BT532" s="1753"/>
      <c r="BU532" s="1751"/>
      <c r="BV532" s="1752"/>
      <c r="BW532" s="1752"/>
      <c r="BX532" s="1753"/>
      <c r="BY532" s="1751">
        <f>IF(AND(BY529=2,BM529=1),1,0)</f>
        <v>0</v>
      </c>
      <c r="BZ532" s="1752"/>
      <c r="CA532" s="1752"/>
      <c r="CB532" s="1753"/>
      <c r="CC532" s="1751">
        <f>IF(AND(CC529=2,BQ529=1),1,0)</f>
        <v>0</v>
      </c>
      <c r="CD532" s="1752"/>
      <c r="CE532" s="1752"/>
      <c r="CF532" s="1753"/>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8">
        <f>RANK(T608,$T$605:$X$609,0)+COUNTIF($T$605:$X$609,T608)-1</f>
        <v>1</v>
      </c>
      <c r="AQ533" s="1849"/>
      <c r="AR533" s="1849"/>
      <c r="AS533" s="1849"/>
      <c r="AT533" s="1850"/>
      <c r="AU533" s="1848">
        <f>RANK(Y608,$Y$605:$AC$609,0)+COUNTIF($Y$605:$AC$609,Y608)-1</f>
        <v>1</v>
      </c>
      <c r="AV533" s="1849"/>
      <c r="AW533" s="1849"/>
      <c r="AX533" s="1849"/>
      <c r="AY533" s="1850"/>
      <c r="BM533" s="1751"/>
      <c r="BN533" s="1752"/>
      <c r="BO533" s="1752"/>
      <c r="BP533" s="1753"/>
      <c r="BQ533" s="1751"/>
      <c r="BR533" s="1752"/>
      <c r="BS533" s="1752"/>
      <c r="BT533" s="1753"/>
      <c r="BU533" s="1751"/>
      <c r="BV533" s="1752"/>
      <c r="BW533" s="1752"/>
      <c r="BX533" s="1753"/>
      <c r="BY533" s="1751"/>
      <c r="BZ533" s="1752"/>
      <c r="CA533" s="1752"/>
      <c r="CB533" s="1753"/>
      <c r="CC533" s="1751">
        <f>IF(AND(CC529=2,BM529=1),1,0)</f>
        <v>0</v>
      </c>
      <c r="CD533" s="1752"/>
      <c r="CE533" s="1752"/>
      <c r="CF533" s="1753"/>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8">
        <f>RANK(T609,$T$605:$X$609,0)+COUNTIF($T$605:$X$609,T609)-1</f>
        <v>5</v>
      </c>
      <c r="AQ534" s="1849"/>
      <c r="AR534" s="1849"/>
      <c r="AS534" s="1849"/>
      <c r="AT534" s="1850"/>
      <c r="AU534" s="1848">
        <f>RANK(Y609,$Y$605:$AC$609,0)+COUNTIF($Y$605:$AC$609,Y609)-1</f>
        <v>5</v>
      </c>
      <c r="AV534" s="1849"/>
      <c r="AW534" s="1849"/>
      <c r="AX534" s="1849"/>
      <c r="AY534" s="1850"/>
      <c r="BM534" s="1751">
        <f>SUM(BM530:BP533)</f>
        <v>0</v>
      </c>
      <c r="BN534" s="1752"/>
      <c r="BO534" s="1752"/>
      <c r="BP534" s="1753"/>
      <c r="BQ534" s="1751">
        <f>SUM(BQ530:BT533)</f>
        <v>0</v>
      </c>
      <c r="BR534" s="1752"/>
      <c r="BS534" s="1752"/>
      <c r="BT534" s="1753"/>
      <c r="BU534" s="1751">
        <f>SUM(BU530:BX533)</f>
        <v>0</v>
      </c>
      <c r="BV534" s="1752"/>
      <c r="BW534" s="1752"/>
      <c r="BX534" s="1753"/>
      <c r="BY534" s="1751">
        <f>SUM(BY530:CB533)</f>
        <v>0</v>
      </c>
      <c r="BZ534" s="1752"/>
      <c r="CA534" s="1752"/>
      <c r="CB534" s="1753"/>
      <c r="CC534" s="1751">
        <f>SUM(CC530:CF533)</f>
        <v>0</v>
      </c>
      <c r="CD534" s="1752"/>
      <c r="CE534" s="1752"/>
      <c r="CF534" s="1753"/>
      <c r="CG534" s="1751">
        <f>SUM(BM534:CF534)</f>
        <v>0</v>
      </c>
      <c r="CH534" s="1752"/>
      <c r="CI534" s="1752"/>
      <c r="CJ534" s="1753"/>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1">
        <f>SUM(O605:S609)</f>
        <v>58</v>
      </c>
      <c r="AZ538" s="1742"/>
      <c r="CG538"/>
      <c r="CH538" s="1783" t="s">
        <v>810</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1" t="str">
        <f>IF(AY538=BK565,"passed","failed")</f>
        <v>passed</v>
      </c>
      <c r="AT539" s="1743"/>
      <c r="AU539" s="1742"/>
      <c r="AV539" s="151"/>
      <c r="AW539" s="151"/>
      <c r="AX539" s="151"/>
      <c r="AY539" s="151"/>
      <c r="AZ539" s="152"/>
      <c r="CG539"/>
      <c r="CH539" s="1503"/>
      <c r="CI539" s="1504"/>
      <c r="CJ539" s="1504"/>
      <c r="CK539" s="1505"/>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3"/>
      <c r="CI540" s="1504"/>
      <c r="CJ540" s="1504"/>
      <c r="CK540" s="1505"/>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1" t="s">
        <v>237</v>
      </c>
      <c r="BF541" s="1752"/>
      <c r="BG541" s="1752"/>
      <c r="BH541" s="1753"/>
      <c r="BI541" s="1751" t="s">
        <v>750</v>
      </c>
      <c r="BJ541" s="1752"/>
      <c r="BK541" s="1752"/>
      <c r="BL541" s="1753"/>
      <c r="BM541" s="1751" t="s">
        <v>751</v>
      </c>
      <c r="BN541" s="1752"/>
      <c r="BO541" s="1752"/>
      <c r="BP541" s="1753"/>
      <c r="BQ541" s="1751" t="s">
        <v>752</v>
      </c>
      <c r="BR541" s="1752"/>
      <c r="BS541" s="1752"/>
      <c r="BT541" s="1753"/>
      <c r="BU541" s="1751" t="s">
        <v>753</v>
      </c>
      <c r="BV541" s="1752"/>
      <c r="BW541" s="1752"/>
      <c r="BX541" s="1753"/>
      <c r="BY541" s="1751" t="s">
        <v>238</v>
      </c>
      <c r="BZ541" s="1752"/>
      <c r="CA541" s="1752"/>
      <c r="CB541" s="1753"/>
      <c r="CC541"/>
      <c r="CG541"/>
      <c r="CH541" s="1503"/>
      <c r="CI541" s="1504"/>
      <c r="CJ541" s="1504"/>
      <c r="CK541" s="1505"/>
    </row>
    <row r="542" spans="1:89" s="4" customFormat="1" ht="12.75" customHeight="1">
      <c r="A542" s="3"/>
      <c r="B542" s="1859" t="s">
        <v>1790</v>
      </c>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c r="AA542" s="1859"/>
      <c r="AB542" s="1859"/>
      <c r="AC542" s="1859"/>
      <c r="AD542" s="1859"/>
      <c r="AE542" s="1859"/>
      <c r="AF542" s="1859"/>
      <c r="AG542" s="1859"/>
      <c r="AK542" s="21"/>
      <c r="AL542" s="21"/>
      <c r="AN542" s="281"/>
      <c r="AP542" s="438" t="s">
        <v>647</v>
      </c>
      <c r="AQ542" s="439"/>
      <c r="AR542" s="439"/>
      <c r="AS542" s="439"/>
      <c r="AT542" s="439"/>
      <c r="AU542" s="439"/>
      <c r="AV542" s="440"/>
      <c r="AW542" s="439"/>
      <c r="AX542" s="439"/>
      <c r="AY542" s="440"/>
      <c r="BE542" s="1741">
        <f>IF(CH543=1,0,1)</f>
        <v>0</v>
      </c>
      <c r="BF542" s="1743"/>
      <c r="BG542" s="1743"/>
      <c r="BH542" s="1742"/>
      <c r="BI542" s="1741"/>
      <c r="BJ542" s="1743"/>
      <c r="BK542" s="1743"/>
      <c r="BL542" s="1742"/>
      <c r="BM542" s="1741"/>
      <c r="BN542" s="1743"/>
      <c r="BO542" s="1743"/>
      <c r="BP542" s="1742"/>
      <c r="BQ542" s="1741"/>
      <c r="BR542" s="1743"/>
      <c r="BS542" s="1743"/>
      <c r="BT542" s="1742"/>
      <c r="BU542" s="1751"/>
      <c r="BV542" s="1752"/>
      <c r="BW542" s="1752"/>
      <c r="BX542" s="1753"/>
      <c r="BY542" s="1751"/>
      <c r="BZ542" s="1752"/>
      <c r="CA542" s="1752"/>
      <c r="CB542" s="1753"/>
      <c r="CC542"/>
      <c r="CG542"/>
      <c r="CH542" s="1509"/>
      <c r="CI542" s="1510"/>
      <c r="CJ542" s="1510"/>
      <c r="CK542" s="1511"/>
    </row>
    <row r="543" spans="1:89" s="4" customFormat="1" ht="12.75" customHeight="1">
      <c r="A543" s="20"/>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c r="AA543" s="1859"/>
      <c r="AB543" s="1859"/>
      <c r="AC543" s="1859"/>
      <c r="AD543" s="1859"/>
      <c r="AE543" s="1859"/>
      <c r="AF543" s="1859"/>
      <c r="AG543" s="1859"/>
      <c r="AK543" s="163"/>
      <c r="AL543" s="163"/>
      <c r="AM543" s="163"/>
      <c r="AN543" s="281"/>
      <c r="AP543" s="441" t="s">
        <v>645</v>
      </c>
      <c r="AQ543" s="442"/>
      <c r="AR543" s="442"/>
      <c r="AS543" s="442"/>
      <c r="AT543" s="442"/>
      <c r="AU543" s="1773">
        <f>ROUNDUP(BK565*0.1,0)</f>
        <v>6</v>
      </c>
      <c r="AV543" s="1775"/>
      <c r="AW543" s="442"/>
      <c r="AX543" s="442">
        <f>AU543-AP545</f>
        <v>-8</v>
      </c>
      <c r="AY543" s="443"/>
      <c r="BE543" s="1741"/>
      <c r="BF543" s="1743"/>
      <c r="BG543" s="1743"/>
      <c r="BH543" s="1742"/>
      <c r="BI543" s="1741">
        <f>IF(AND(CH544=1,BE542=0),0,1)</f>
        <v>0</v>
      </c>
      <c r="BJ543" s="1743"/>
      <c r="BK543" s="1743"/>
      <c r="BL543" s="1742"/>
      <c r="BM543" s="1741"/>
      <c r="BN543" s="1743"/>
      <c r="BO543" s="1743"/>
      <c r="BP543" s="1742"/>
      <c r="BQ543" s="1741"/>
      <c r="BR543" s="1743"/>
      <c r="BS543" s="1743"/>
      <c r="BT543" s="1742"/>
      <c r="BU543" s="1751"/>
      <c r="BV543" s="1752"/>
      <c r="BW543" s="1752"/>
      <c r="BX543" s="1753"/>
      <c r="BY543" s="1751"/>
      <c r="BZ543" s="1752"/>
      <c r="CA543" s="1752"/>
      <c r="CB543" s="1753"/>
      <c r="CC543"/>
      <c r="CG543"/>
      <c r="CH543" s="1751">
        <f>IF(OR(Y605=0,Y605&gt;=0.1),1,0)</f>
        <v>1</v>
      </c>
      <c r="CI543" s="1752"/>
      <c r="CJ543" s="1752"/>
      <c r="CK543" s="1753"/>
    </row>
    <row r="544" spans="1:89" s="4" customFormat="1" ht="12.75" customHeight="1">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c r="AA544" s="1859"/>
      <c r="AB544" s="1859"/>
      <c r="AC544" s="1859"/>
      <c r="AD544" s="1859"/>
      <c r="AE544" s="1859"/>
      <c r="AF544" s="1859"/>
      <c r="AG544" s="1859"/>
      <c r="AH544" s="162"/>
      <c r="AI544" s="162"/>
      <c r="AJ544" s="162"/>
      <c r="AK544" s="163"/>
      <c r="AL544" s="163"/>
      <c r="AM544" s="163"/>
      <c r="AN544" s="281"/>
      <c r="AP544" s="441"/>
      <c r="AQ544" s="442"/>
      <c r="AR544" s="442"/>
      <c r="AS544" s="442"/>
      <c r="AT544" s="442"/>
      <c r="AU544" s="442"/>
      <c r="AV544" s="443"/>
      <c r="AW544" s="442"/>
      <c r="AX544" s="442"/>
      <c r="AY544" s="443"/>
      <c r="BE544" s="1741"/>
      <c r="BF544" s="1743"/>
      <c r="BG544" s="1743"/>
      <c r="BH544" s="1742"/>
      <c r="BI544" s="1741"/>
      <c r="BJ544" s="1743"/>
      <c r="BK544" s="1743"/>
      <c r="BL544" s="1742"/>
      <c r="BM544" s="1741">
        <f>IF(AND(AND(CH545=1,BI543=0,BE542=0)),0,1)</f>
        <v>0</v>
      </c>
      <c r="BN544" s="1743"/>
      <c r="BO544" s="1743"/>
      <c r="BP544" s="1742"/>
      <c r="BQ544" s="1741"/>
      <c r="BR544" s="1743"/>
      <c r="BS544" s="1743"/>
      <c r="BT544" s="1742"/>
      <c r="BU544" s="1751"/>
      <c r="BV544" s="1752"/>
      <c r="BW544" s="1752"/>
      <c r="BX544" s="1753"/>
      <c r="BY544" s="1751"/>
      <c r="BZ544" s="1752"/>
      <c r="CA544" s="1752"/>
      <c r="CB544" s="1753"/>
      <c r="CC544"/>
      <c r="CG544"/>
      <c r="CH544" s="1751">
        <f>IF(OR(Y606=0,Y606&gt;=0.1),1,0)</f>
        <v>1</v>
      </c>
      <c r="CI544" s="1752"/>
      <c r="CJ544" s="1752"/>
      <c r="CK544" s="1753"/>
    </row>
    <row r="545" spans="2:89" s="4" customFormat="1" ht="12.75" customHeight="1">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c r="AA545" s="1859"/>
      <c r="AB545" s="1859"/>
      <c r="AC545" s="1859"/>
      <c r="AD545" s="1859"/>
      <c r="AE545" s="1859"/>
      <c r="AF545" s="1859"/>
      <c r="AG545" s="1859"/>
      <c r="AH545" s="162"/>
      <c r="AI545" s="162"/>
      <c r="AJ545" s="162"/>
      <c r="AK545" s="163"/>
      <c r="AL545" s="163"/>
      <c r="AM545" s="163"/>
      <c r="AN545" s="281"/>
      <c r="AP545" s="1831">
        <f>SUM(T605:X609)</f>
        <v>14</v>
      </c>
      <c r="AQ545" s="1832"/>
      <c r="AR545" s="1832"/>
      <c r="AS545" s="1832"/>
      <c r="AT545" s="1833"/>
      <c r="AU545" s="442"/>
      <c r="AV545" s="443"/>
      <c r="AW545" s="442"/>
      <c r="AX545" s="442"/>
      <c r="AY545" s="443"/>
      <c r="BE545" s="1741"/>
      <c r="BF545" s="1743"/>
      <c r="BG545" s="1743"/>
      <c r="BH545" s="1742"/>
      <c r="BI545" s="1741"/>
      <c r="BJ545" s="1743"/>
      <c r="BK545" s="1743"/>
      <c r="BL545" s="1742"/>
      <c r="BM545" s="1741"/>
      <c r="BN545" s="1743"/>
      <c r="BO545" s="1743"/>
      <c r="BP545" s="1742"/>
      <c r="BQ545" s="1741">
        <f>IF(AND(AND(AND(CH546=1,BM544=0,BI543=0,BE542=0))),0,1)</f>
        <v>0</v>
      </c>
      <c r="BR545" s="1743"/>
      <c r="BS545" s="1743"/>
      <c r="BT545" s="1742"/>
      <c r="BU545" s="1751"/>
      <c r="BV545" s="1752"/>
      <c r="BW545" s="1752"/>
      <c r="BX545" s="1753"/>
      <c r="BY545" s="1751"/>
      <c r="BZ545" s="1752"/>
      <c r="CA545" s="1752"/>
      <c r="CB545" s="1753"/>
      <c r="CC545"/>
      <c r="CG545"/>
      <c r="CH545" s="1751">
        <f>IF(OR(Y607=0,Y607&gt;=0.1),1,0)</f>
        <v>1</v>
      </c>
      <c r="CI545" s="1752"/>
      <c r="CJ545" s="1752"/>
      <c r="CK545" s="1753"/>
    </row>
    <row r="546" spans="2:89" s="4" customFormat="1" ht="12.75" customHeight="1">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c r="AA546" s="1859"/>
      <c r="AB546" s="1859"/>
      <c r="AC546" s="1859"/>
      <c r="AD546" s="1859"/>
      <c r="AE546" s="1859"/>
      <c r="AF546" s="1859"/>
      <c r="AG546" s="1859"/>
      <c r="AH546" s="162"/>
      <c r="AI546" s="162"/>
      <c r="AJ546" s="162"/>
      <c r="AK546" s="163"/>
      <c r="AL546" s="163"/>
      <c r="AM546" s="163"/>
      <c r="AN546" s="281"/>
      <c r="AP546" s="444"/>
      <c r="AQ546" s="445"/>
      <c r="AR546" s="445"/>
      <c r="AS546" s="445"/>
      <c r="AT546" s="446" t="s">
        <v>640</v>
      </c>
      <c r="AU546" s="1773" t="str">
        <f>IF(AP545&gt;=AU543,"passed","failed")</f>
        <v>passed</v>
      </c>
      <c r="AV546" s="1774"/>
      <c r="AW546" s="1775"/>
      <c r="AX546" s="447"/>
      <c r="AY546" s="448"/>
      <c r="BE546" s="1741"/>
      <c r="BF546" s="1743"/>
      <c r="BG546" s="1743"/>
      <c r="BH546" s="1742"/>
      <c r="BI546" s="1741"/>
      <c r="BJ546" s="1743"/>
      <c r="BK546" s="1743"/>
      <c r="BL546" s="1742"/>
      <c r="BM546" s="1741"/>
      <c r="BN546" s="1743"/>
      <c r="BO546" s="1743"/>
      <c r="BP546" s="1742"/>
      <c r="BQ546" s="1741"/>
      <c r="BR546" s="1743"/>
      <c r="BS546" s="1743"/>
      <c r="BT546" s="1742"/>
      <c r="BU546" s="1741">
        <f>IF(AND(AND(AND(AND(CH547=1,BQ545=0,BM544=0,BI543=0,BE542=0)))),0,1)</f>
        <v>0</v>
      </c>
      <c r="BV546" s="1743"/>
      <c r="BW546" s="1743"/>
      <c r="BX546" s="1742"/>
      <c r="BY546" s="1751"/>
      <c r="BZ546" s="1752"/>
      <c r="CA546" s="1752"/>
      <c r="CB546" s="1753"/>
      <c r="CC546"/>
      <c r="CD546"/>
      <c r="CE546"/>
      <c r="CF546"/>
      <c r="CG546"/>
      <c r="CH546" s="1751">
        <f>IF(OR(Y608=0,Y608&gt;=0.1),1,0)</f>
        <v>1</v>
      </c>
      <c r="CI546" s="1752"/>
      <c r="CJ546" s="1752"/>
      <c r="CK546" s="1753"/>
    </row>
    <row r="547" spans="2:89" s="4" customFormat="1" ht="13.7" customHeight="1">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c r="AA547" s="1859"/>
      <c r="AB547" s="1859"/>
      <c r="AC547" s="1859"/>
      <c r="AD547" s="1859"/>
      <c r="AE547" s="1859"/>
      <c r="AF547" s="1859"/>
      <c r="AG547" s="1859"/>
      <c r="AH547" s="162"/>
      <c r="AI547" s="162"/>
      <c r="AJ547" s="162"/>
      <c r="AK547" s="163"/>
      <c r="AL547" s="163"/>
      <c r="AM547" s="163"/>
      <c r="AN547" s="281"/>
      <c r="BE547" s="1741">
        <f>SUM(BE542:BH546)</f>
        <v>0</v>
      </c>
      <c r="BF547" s="1743"/>
      <c r="BG547" s="1743"/>
      <c r="BH547" s="1742"/>
      <c r="BI547" s="1741">
        <f>SUM(BI542:BL546)</f>
        <v>0</v>
      </c>
      <c r="BJ547" s="1743"/>
      <c r="BK547" s="1743"/>
      <c r="BL547" s="1742"/>
      <c r="BM547" s="1741">
        <f>SUM(BM542:BP546)</f>
        <v>0</v>
      </c>
      <c r="BN547" s="1743"/>
      <c r="BO547" s="1743"/>
      <c r="BP547" s="1742"/>
      <c r="BQ547" s="1741">
        <f>SUM(BQ542:BT546)</f>
        <v>0</v>
      </c>
      <c r="BR547" s="1743"/>
      <c r="BS547" s="1743"/>
      <c r="BT547" s="1742"/>
      <c r="BU547" s="1741">
        <f>SUM(BU542:BX546)</f>
        <v>0</v>
      </c>
      <c r="BV547" s="1743"/>
      <c r="BW547" s="1743"/>
      <c r="BX547" s="1742"/>
      <c r="BY547" s="1741">
        <f>SUM(BY542:CB546)</f>
        <v>0</v>
      </c>
      <c r="BZ547" s="1743"/>
      <c r="CA547" s="1743"/>
      <c r="CB547" s="1742"/>
      <c r="CC547" s="1751">
        <f>IF(AND(CH543=1,T605&gt;0),0,SUM(BE547:CB547))</f>
        <v>0</v>
      </c>
      <c r="CD547" s="1752"/>
      <c r="CE547" s="1752"/>
      <c r="CF547" s="1753"/>
      <c r="CG547"/>
      <c r="CH547" s="1751">
        <f>IF(OR(Y609=0,Y609&gt;=0.1),1,0)</f>
        <v>1</v>
      </c>
      <c r="CI547" s="1752"/>
      <c r="CJ547" s="1752"/>
      <c r="CK547" s="1753"/>
    </row>
    <row r="548" spans="2:89" s="4" customFormat="1" ht="12.4" customHeight="1">
      <c r="B548" s="1754" t="s">
        <v>1565</v>
      </c>
      <c r="C548" s="1754"/>
      <c r="D548" s="1754"/>
      <c r="E548" s="1754"/>
      <c r="F548" s="1754"/>
      <c r="G548" s="1754"/>
      <c r="H548" s="1754"/>
      <c r="I548" s="1754"/>
      <c r="J548" s="1754"/>
      <c r="K548" s="1754"/>
      <c r="L548" s="1754"/>
      <c r="M548" s="1754"/>
      <c r="N548" s="1754"/>
      <c r="O548" s="1754"/>
      <c r="P548" s="1754"/>
      <c r="Q548" s="1754"/>
      <c r="R548" s="1754"/>
      <c r="S548" s="1754"/>
      <c r="T548" s="1754"/>
      <c r="U548" s="1754"/>
      <c r="V548" s="1754"/>
      <c r="W548" s="1754"/>
      <c r="X548" s="1754"/>
      <c r="Y548" s="1754"/>
      <c r="Z548" s="1754"/>
      <c r="AA548" s="1754"/>
      <c r="AB548" s="1754"/>
      <c r="AC548" s="1754"/>
      <c r="AD548" s="1754"/>
      <c r="AE548" s="1754"/>
      <c r="AF548" s="1754"/>
      <c r="AG548" s="1754"/>
      <c r="AH548" s="162"/>
      <c r="AI548" s="162"/>
      <c r="AJ548" s="162"/>
      <c r="AK548" s="163"/>
      <c r="AL548" s="163"/>
      <c r="AM548" s="163"/>
      <c r="AN548" s="281"/>
    </row>
    <row r="549" spans="2:89" s="4" customFormat="1" ht="21" customHeight="1">
      <c r="B549" s="1754"/>
      <c r="C549" s="1754"/>
      <c r="D549" s="1754"/>
      <c r="E549" s="1754"/>
      <c r="F549" s="1754"/>
      <c r="G549" s="1754"/>
      <c r="H549" s="1754"/>
      <c r="I549" s="1754"/>
      <c r="J549" s="1754"/>
      <c r="K549" s="1754"/>
      <c r="L549" s="1754"/>
      <c r="M549" s="1754"/>
      <c r="N549" s="1754"/>
      <c r="O549" s="1754"/>
      <c r="P549" s="1754"/>
      <c r="Q549" s="1754"/>
      <c r="R549" s="1754"/>
      <c r="S549" s="1754"/>
      <c r="T549" s="1754"/>
      <c r="U549" s="1754"/>
      <c r="V549" s="1754"/>
      <c r="W549" s="1754"/>
      <c r="X549" s="1754"/>
      <c r="Y549" s="1754"/>
      <c r="Z549" s="1754"/>
      <c r="AA549" s="1754"/>
      <c r="AB549" s="1754"/>
      <c r="AC549" s="1754"/>
      <c r="AD549" s="1754"/>
      <c r="AE549" s="1754"/>
      <c r="AF549" s="1754"/>
      <c r="AG549" s="1754"/>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4" t="s">
        <v>1834</v>
      </c>
      <c r="C550" s="1754"/>
      <c r="D550" s="1754"/>
      <c r="E550" s="1754"/>
      <c r="F550" s="1754"/>
      <c r="G550" s="1754"/>
      <c r="H550" s="1754"/>
      <c r="I550" s="1754"/>
      <c r="J550" s="1754"/>
      <c r="K550" s="1754"/>
      <c r="L550" s="1754"/>
      <c r="M550" s="1754"/>
      <c r="N550" s="1754"/>
      <c r="O550" s="1754"/>
      <c r="P550" s="1754"/>
      <c r="Q550" s="1754"/>
      <c r="R550" s="1754"/>
      <c r="S550" s="1754"/>
      <c r="T550" s="1754"/>
      <c r="U550" s="1754"/>
      <c r="V550" s="1754"/>
      <c r="W550" s="1754"/>
      <c r="X550" s="1754"/>
      <c r="Y550" s="1754"/>
      <c r="Z550" s="1754"/>
      <c r="AA550" s="1754"/>
      <c r="AB550" s="1754"/>
      <c r="AC550" s="1754"/>
      <c r="AD550" s="1754"/>
      <c r="AE550" s="1754"/>
      <c r="AF550" s="1754"/>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4"/>
      <c r="C551" s="1754"/>
      <c r="D551" s="1754"/>
      <c r="E551" s="1754"/>
      <c r="F551" s="1754"/>
      <c r="G551" s="1754"/>
      <c r="H551" s="1754"/>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62"/>
      <c r="AH551" s="162"/>
      <c r="AI551" s="162"/>
      <c r="AJ551" s="162"/>
      <c r="AK551" s="163"/>
      <c r="AL551" s="163"/>
      <c r="AM551" s="163"/>
      <c r="AN551" s="281"/>
      <c r="AP551" s="150"/>
      <c r="AQ551" s="151"/>
      <c r="AR551" s="151"/>
      <c r="AS551" s="151"/>
      <c r="AT551" s="157" t="s">
        <v>640</v>
      </c>
      <c r="AU551" s="151"/>
      <c r="AV551" s="1741" t="str">
        <f>IF(BJ587&gt;0,"failed","passed")</f>
        <v>passed</v>
      </c>
      <c r="AW551" s="1743"/>
      <c r="AX551" s="1743"/>
      <c r="AY551" s="1742"/>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1566</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1833</v>
      </c>
      <c r="R556" s="1674"/>
      <c r="S556" s="1839" t="s">
        <v>218</v>
      </c>
      <c r="T556" s="1839"/>
      <c r="U556" s="1673">
        <v>0.5</v>
      </c>
      <c r="V556" s="1674"/>
      <c r="W556" s="1673">
        <v>0.45</v>
      </c>
      <c r="X556" s="1674"/>
      <c r="Y556" s="1673">
        <v>0.4</v>
      </c>
      <c r="Z556" s="1674"/>
      <c r="AA556" s="1673">
        <v>0.35</v>
      </c>
      <c r="AB556" s="1674"/>
      <c r="AC556" s="1771">
        <v>0.3</v>
      </c>
      <c r="AD556" s="1772"/>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5"/>
      <c r="T557" s="1755"/>
      <c r="U557" s="1672"/>
      <c r="V557" s="1672"/>
      <c r="W557" s="1672"/>
      <c r="X557" s="1672"/>
      <c r="Y557" s="1672"/>
      <c r="Z557" s="1672"/>
      <c r="AA557" s="1744"/>
      <c r="AB557" s="1744"/>
      <c r="AC557" s="1672"/>
      <c r="AD557" s="1672"/>
      <c r="AE557" s="1769"/>
      <c r="AF557" s="1770"/>
      <c r="AN557" s="281"/>
      <c r="AP557" s="144" t="s">
        <v>747</v>
      </c>
      <c r="AQ557" s="9"/>
      <c r="AR557" s="9"/>
      <c r="AS557" s="9"/>
      <c r="AT557" s="1751" t="str">
        <f>IF(OR(AV551="passed",BD555="passed"),"passed","failed")</f>
        <v>passed</v>
      </c>
      <c r="AU557" s="1752"/>
      <c r="AV557" s="1752"/>
      <c r="AW557" s="1752"/>
      <c r="AX557" s="1753"/>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9"/>
      <c r="AF559" s="1780"/>
      <c r="AN559" s="281"/>
      <c r="AP559" s="153" t="s">
        <v>641</v>
      </c>
      <c r="AQ559" s="154"/>
      <c r="AR559" s="154"/>
      <c r="AS559" s="154"/>
      <c r="AT559" s="154"/>
      <c r="AU559" s="154"/>
      <c r="AV559" s="155"/>
      <c r="AW559" s="1776" t="str">
        <f>IF(AND(AND(AND(AND(AS539="passed",AU546="passed",BD555="passed",SUM(T605:X609)&gt;1)))),"YES","NO")</f>
        <v>YES</v>
      </c>
      <c r="AX559" s="1777"/>
      <c r="AY559" s="1778"/>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9"/>
      <c r="AF561" s="1780"/>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1171</v>
      </c>
      <c r="BA562" s="1784" t="s">
        <v>748</v>
      </c>
      <c r="BB562" s="1785"/>
      <c r="BC562" s="1785"/>
      <c r="BD562" s="1785"/>
      <c r="BE562" s="1786"/>
      <c r="BF562" s="1748">
        <f>SUM(O605:S609)</f>
        <v>58</v>
      </c>
      <c r="BG562" s="1749"/>
      <c r="BH562" s="1749"/>
      <c r="BI562" s="1749"/>
      <c r="BJ562" s="1750"/>
      <c r="BK562" s="1646">
        <f>SUM(T605:X609)</f>
        <v>14</v>
      </c>
      <c r="BL562" s="1647"/>
      <c r="BM562" s="1647"/>
      <c r="BN562" s="1647"/>
      <c r="BO562" s="1648"/>
    </row>
    <row r="563" spans="1:96" s="4" customFormat="1" ht="12.75" customHeight="1">
      <c r="B563" s="35"/>
      <c r="I563" s="1122" t="s">
        <v>1564</v>
      </c>
      <c r="J563" s="1123"/>
      <c r="K563" s="1123"/>
      <c r="L563" s="1123"/>
      <c r="M563" s="1123"/>
      <c r="N563" s="1124"/>
      <c r="O563" s="1642">
        <v>0.5</v>
      </c>
      <c r="P563" s="1643"/>
      <c r="Q563" s="1655"/>
      <c r="R563" s="1656"/>
      <c r="S563" s="1645"/>
      <c r="T563" s="1645"/>
      <c r="U563" s="1686" t="s">
        <v>1568</v>
      </c>
      <c r="V563" s="1686"/>
      <c r="W563" s="1658">
        <v>37.5</v>
      </c>
      <c r="X563" s="1658"/>
      <c r="Y563" s="1656"/>
      <c r="Z563" s="1656"/>
      <c r="AA563" s="1658"/>
      <c r="AB563" s="1658"/>
      <c r="AC563" s="1656"/>
      <c r="AD563" s="1656"/>
      <c r="AE563" s="1781"/>
      <c r="AF563" s="1782"/>
      <c r="AN563" s="281"/>
      <c r="CL563"/>
      <c r="CM563"/>
    </row>
    <row r="564" spans="1:96" s="4" customFormat="1" ht="12.75" customHeight="1">
      <c r="B564" s="120"/>
      <c r="C564" s="61"/>
      <c r="I564" s="1122"/>
      <c r="J564" s="1123"/>
      <c r="K564" s="1123"/>
      <c r="L564" s="1123"/>
      <c r="M564" s="1123"/>
      <c r="N564" s="1124"/>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2"/>
      <c r="J565" s="1123"/>
      <c r="K565" s="1123"/>
      <c r="L565" s="1123"/>
      <c r="M565" s="1123"/>
      <c r="N565" s="1124"/>
      <c r="O565" s="1642">
        <v>0.4</v>
      </c>
      <c r="P565" s="1643"/>
      <c r="Q565" s="1644"/>
      <c r="R565" s="1645"/>
      <c r="S565" s="1657" t="s">
        <v>1567</v>
      </c>
      <c r="T565" s="1657"/>
      <c r="U565" s="1659">
        <v>20</v>
      </c>
      <c r="V565" s="1659"/>
      <c r="W565" s="1659">
        <v>30</v>
      </c>
      <c r="X565" s="1659"/>
      <c r="Y565" s="1659"/>
      <c r="Z565" s="1659"/>
      <c r="AA565" s="1659"/>
      <c r="AB565" s="1659"/>
      <c r="AC565" s="1659"/>
      <c r="AD565" s="1659"/>
      <c r="AE565" s="1664"/>
      <c r="AF565" s="1665"/>
      <c r="AN565" s="281"/>
      <c r="AP565" s="1840" t="s">
        <v>219</v>
      </c>
      <c r="AQ565" s="1841"/>
      <c r="AR565" s="1841"/>
      <c r="AS565" s="1841"/>
      <c r="AT565" s="1841"/>
      <c r="AU565" s="1841"/>
      <c r="AV565" s="1841"/>
      <c r="AW565" s="1841"/>
      <c r="AX565" s="1841"/>
      <c r="AY565" s="1841"/>
      <c r="AZ565" s="1841"/>
      <c r="BA565" s="1841"/>
      <c r="BB565" s="1841"/>
      <c r="BC565" s="1841"/>
      <c r="BD565" s="1841"/>
      <c r="BE565" s="1841"/>
      <c r="BF565" s="1841"/>
      <c r="BG565" s="1841"/>
      <c r="BH565" s="1841"/>
      <c r="BI565" s="1841"/>
      <c r="BJ565" s="1842"/>
      <c r="BK565" s="1763">
        <f>BF562</f>
        <v>58</v>
      </c>
      <c r="BL565" s="1764"/>
      <c r="BM565" s="1764"/>
      <c r="BN565" s="1764"/>
      <c r="BO565" s="176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2"/>
      <c r="J566" s="1123"/>
      <c r="K566" s="1123"/>
      <c r="L566" s="1123"/>
      <c r="M566" s="1123"/>
      <c r="N566" s="1124"/>
      <c r="O566" s="1642">
        <v>0.35</v>
      </c>
      <c r="P566" s="1643"/>
      <c r="Q566" s="1644"/>
      <c r="R566" s="1645"/>
      <c r="S566" s="1657" t="s">
        <v>1835</v>
      </c>
      <c r="T566" s="1657"/>
      <c r="U566" s="1659">
        <v>17.5</v>
      </c>
      <c r="V566" s="1659"/>
      <c r="W566" s="1659">
        <v>26.3</v>
      </c>
      <c r="X566" s="1659"/>
      <c r="Y566" s="1659">
        <v>35</v>
      </c>
      <c r="Z566" s="1659"/>
      <c r="AA566" s="1659"/>
      <c r="AB566" s="1659"/>
      <c r="AC566" s="1659">
        <v>50</v>
      </c>
      <c r="AD566" s="1659"/>
      <c r="AE566" s="1664"/>
      <c r="AF566" s="1665"/>
      <c r="AN566" s="281"/>
      <c r="AP566" s="1843"/>
      <c r="AQ566" s="1844"/>
      <c r="AR566" s="1844"/>
      <c r="AS566" s="1844"/>
      <c r="AT566" s="1844"/>
      <c r="AU566" s="1844"/>
      <c r="AV566" s="1844"/>
      <c r="AW566" s="1844"/>
      <c r="AX566" s="1844"/>
      <c r="AY566" s="1844"/>
      <c r="AZ566" s="1844"/>
      <c r="BA566" s="1844"/>
      <c r="BB566" s="1844"/>
      <c r="BC566" s="1844"/>
      <c r="BD566" s="1844"/>
      <c r="BE566" s="1844"/>
      <c r="BF566" s="1844"/>
      <c r="BG566" s="1844"/>
      <c r="BH566" s="1844"/>
      <c r="BI566" s="1844"/>
      <c r="BJ566" s="1845"/>
      <c r="BK566" s="1766"/>
      <c r="BL566" s="1767"/>
      <c r="BM566" s="1767"/>
      <c r="BN566" s="1767"/>
      <c r="BO566" s="176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2"/>
      <c r="J567" s="1123"/>
      <c r="K567" s="1123"/>
      <c r="L567" s="1123"/>
      <c r="M567" s="1123"/>
      <c r="N567" s="1124"/>
      <c r="O567" s="1642">
        <v>0.3</v>
      </c>
      <c r="P567" s="1643"/>
      <c r="Q567" s="1644"/>
      <c r="R567" s="1645"/>
      <c r="S567" s="1657" t="s">
        <v>1836</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6">
        <v>5</v>
      </c>
      <c r="BK567" s="1187"/>
      <c r="BL567" s="1187"/>
      <c r="BM567" s="1187"/>
      <c r="BN567" s="1188"/>
      <c r="BO567" s="1186">
        <v>4</v>
      </c>
      <c r="BP567" s="1187"/>
      <c r="BQ567" s="1187"/>
      <c r="BR567" s="1187"/>
      <c r="BS567" s="1188"/>
      <c r="BT567" s="1186">
        <v>3</v>
      </c>
      <c r="BU567" s="1187"/>
      <c r="BV567" s="1187"/>
      <c r="BW567" s="1187"/>
      <c r="BX567" s="1188"/>
      <c r="BY567" s="1186">
        <v>2</v>
      </c>
      <c r="BZ567" s="1187"/>
      <c r="CA567" s="1187"/>
      <c r="CB567" s="1187"/>
      <c r="CC567" s="1188"/>
      <c r="CD567" s="1186">
        <v>1</v>
      </c>
      <c r="CE567" s="1187"/>
      <c r="CF567" s="1187"/>
      <c r="CG567" s="1187"/>
      <c r="CH567" s="1188"/>
      <c r="CI567" s="1186">
        <v>0</v>
      </c>
      <c r="CJ567" s="1187"/>
      <c r="CK567" s="1187"/>
      <c r="CL567" s="1187"/>
      <c r="CM567" s="1188"/>
      <c r="CN567" s="21"/>
      <c r="CO567" s="21"/>
      <c r="CP567" s="21"/>
      <c r="CQ567" s="21"/>
      <c r="CR567" s="21"/>
    </row>
    <row r="568" spans="1:96" s="4" customFormat="1" ht="12.75" customHeight="1">
      <c r="B568" s="5"/>
      <c r="C568" s="5"/>
      <c r="D568" s="5"/>
      <c r="E568" s="5"/>
      <c r="I568" s="1122"/>
      <c r="J568" s="1123"/>
      <c r="K568" s="1123"/>
      <c r="L568" s="1123"/>
      <c r="M568" s="1123"/>
      <c r="N568" s="1124"/>
      <c r="O568" s="1642">
        <v>0.25</v>
      </c>
      <c r="P568" s="1643"/>
      <c r="Q568" s="1644"/>
      <c r="R568" s="1645"/>
      <c r="S568" s="1657" t="s">
        <v>1837</v>
      </c>
      <c r="T568" s="1657"/>
      <c r="U568" s="1659">
        <v>12.5</v>
      </c>
      <c r="V568" s="1659"/>
      <c r="W568" s="1659">
        <v>18.8</v>
      </c>
      <c r="X568" s="1659"/>
      <c r="Y568" s="1659">
        <v>25</v>
      </c>
      <c r="Z568" s="1659"/>
      <c r="AA568" s="1659">
        <v>31.3</v>
      </c>
      <c r="AB568" s="1659"/>
      <c r="AC568" s="1659">
        <v>37.5</v>
      </c>
      <c r="AD568" s="1659"/>
      <c r="AE568" s="1664">
        <v>50</v>
      </c>
      <c r="AF568" s="1665"/>
      <c r="AN568" s="281"/>
      <c r="AP568" s="1745" t="str">
        <f t="shared" ref="AP568:AP574" si="0">J604</f>
        <v>5 BR</v>
      </c>
      <c r="AQ568" s="1746"/>
      <c r="AR568" s="1746"/>
      <c r="AS568" s="1746"/>
      <c r="AT568" s="1747"/>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6">
        <f>IF(OR(AP578=0,BE568&gt;=0.1),0,1)</f>
        <v>0</v>
      </c>
      <c r="BK568" s="1187"/>
      <c r="BL568" s="1187"/>
      <c r="BM568" s="1187"/>
      <c r="BN568" s="1188"/>
      <c r="BO568" s="1186"/>
      <c r="BP568" s="1187"/>
      <c r="BQ568" s="1187"/>
      <c r="BR568" s="1187"/>
      <c r="BS568" s="1188"/>
      <c r="BT568" s="1186"/>
      <c r="BU568" s="1187"/>
      <c r="BV568" s="1187"/>
      <c r="BW568" s="1187"/>
      <c r="BX568" s="1188"/>
      <c r="BY568" s="1186"/>
      <c r="BZ568" s="1187"/>
      <c r="CA568" s="1187"/>
      <c r="CB568" s="1187"/>
      <c r="CC568" s="1188"/>
      <c r="CD568" s="1186"/>
      <c r="CE568" s="1187"/>
      <c r="CF568" s="1187"/>
      <c r="CG568" s="1187"/>
      <c r="CH568" s="1188"/>
      <c r="CI568" s="1186"/>
      <c r="CJ568" s="1187"/>
      <c r="CK568" s="1187"/>
      <c r="CL568" s="1187"/>
      <c r="CM568" s="1188"/>
      <c r="CN568" s="21"/>
      <c r="CO568" s="21"/>
      <c r="CP568" s="21"/>
      <c r="CQ568" s="21"/>
      <c r="CR568" s="21"/>
    </row>
    <row r="569" spans="1:96" s="4" customFormat="1" ht="12.75" customHeight="1">
      <c r="A569" s="120"/>
      <c r="B569" s="5"/>
      <c r="C569" s="5"/>
      <c r="D569" s="5"/>
      <c r="E569" s="5"/>
      <c r="I569" s="1122"/>
      <c r="J569" s="1123"/>
      <c r="K569" s="1123"/>
      <c r="L569" s="1123"/>
      <c r="M569" s="1123"/>
      <c r="N569" s="1124"/>
      <c r="O569" s="1642">
        <v>0.2</v>
      </c>
      <c r="P569" s="1643"/>
      <c r="Q569" s="1644"/>
      <c r="R569" s="1645"/>
      <c r="S569" s="1670" t="s">
        <v>1840</v>
      </c>
      <c r="T569" s="1670"/>
      <c r="U569" s="1659">
        <v>10</v>
      </c>
      <c r="V569" s="1659"/>
      <c r="W569" s="1659">
        <v>15</v>
      </c>
      <c r="X569" s="1659"/>
      <c r="Y569" s="1659">
        <v>20</v>
      </c>
      <c r="Z569" s="1659"/>
      <c r="AA569" s="1659">
        <v>25</v>
      </c>
      <c r="AB569" s="1659"/>
      <c r="AC569" s="1659">
        <v>30</v>
      </c>
      <c r="AD569" s="1659"/>
      <c r="AE569" s="1664">
        <v>40</v>
      </c>
      <c r="AF569" s="1665"/>
      <c r="AN569" s="281"/>
      <c r="AP569" s="1745" t="str">
        <f t="shared" si="0"/>
        <v>4 BR</v>
      </c>
      <c r="AQ569" s="1746"/>
      <c r="AR569" s="1746"/>
      <c r="AS569" s="1746"/>
      <c r="AT569" s="1747"/>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6"/>
      <c r="BK569" s="1187"/>
      <c r="BL569" s="1187"/>
      <c r="BM569" s="1187"/>
      <c r="BN569" s="1188"/>
      <c r="BO569" s="1186">
        <f>IF(AND(AND(AZ568=0,BJ568=0,AP579=1)),1,0)</f>
        <v>0</v>
      </c>
      <c r="BP569" s="1187"/>
      <c r="BQ569" s="1187"/>
      <c r="BR569" s="1187"/>
      <c r="BS569" s="1188"/>
      <c r="BT569" s="1186"/>
      <c r="BU569" s="1187"/>
      <c r="BV569" s="1187"/>
      <c r="BW569" s="1187"/>
      <c r="BX569" s="1188"/>
      <c r="BY569" s="1186"/>
      <c r="BZ569" s="1187"/>
      <c r="CA569" s="1187"/>
      <c r="CB569" s="1187"/>
      <c r="CC569" s="1188"/>
      <c r="CD569" s="1186"/>
      <c r="CE569" s="1187"/>
      <c r="CF569" s="1187"/>
      <c r="CG569" s="1187"/>
      <c r="CH569" s="1188"/>
      <c r="CI569" s="1186"/>
      <c r="CJ569" s="1187"/>
      <c r="CK569" s="1187"/>
      <c r="CL569" s="1187"/>
      <c r="CM569" s="1188"/>
      <c r="CN569" s="21"/>
      <c r="CO569" s="21"/>
      <c r="CP569" s="21"/>
      <c r="CQ569" s="21"/>
      <c r="CR569" s="21"/>
    </row>
    <row r="570" spans="1:96" s="4" customFormat="1" ht="12.75" customHeight="1">
      <c r="A570" s="120"/>
      <c r="B570" s="5"/>
      <c r="C570" s="5"/>
      <c r="D570" s="5"/>
      <c r="E570" s="5"/>
      <c r="I570" s="1122"/>
      <c r="J570" s="1123"/>
      <c r="K570" s="1123"/>
      <c r="L570" s="1123"/>
      <c r="M570" s="1123"/>
      <c r="N570" s="1124"/>
      <c r="O570" s="1642">
        <v>0.15</v>
      </c>
      <c r="P570" s="1643"/>
      <c r="Q570" s="1644"/>
      <c r="R570" s="1645"/>
      <c r="S570" s="1657" t="s">
        <v>1838</v>
      </c>
      <c r="T570" s="1657"/>
      <c r="U570" s="1659">
        <v>7.5</v>
      </c>
      <c r="V570" s="1659"/>
      <c r="W570" s="1659">
        <v>11.3</v>
      </c>
      <c r="X570" s="1659"/>
      <c r="Y570" s="1659">
        <v>15</v>
      </c>
      <c r="Z570" s="1659"/>
      <c r="AA570" s="1659">
        <v>18.8</v>
      </c>
      <c r="AB570" s="1659"/>
      <c r="AC570" s="1659">
        <v>22.5</v>
      </c>
      <c r="AD570" s="1659"/>
      <c r="AE570" s="1664">
        <v>30</v>
      </c>
      <c r="AF570" s="1665"/>
      <c r="AN570" s="281"/>
      <c r="AP570" s="1745" t="str">
        <f t="shared" si="0"/>
        <v>3 BR</v>
      </c>
      <c r="AQ570" s="1746"/>
      <c r="AR570" s="1746"/>
      <c r="AS570" s="1746"/>
      <c r="AT570" s="1747"/>
      <c r="AU570" s="1313">
        <f t="shared" si="1"/>
        <v>0</v>
      </c>
      <c r="AV570" s="1314"/>
      <c r="AW570" s="1314"/>
      <c r="AX570" s="1314"/>
      <c r="AY570" s="1315"/>
      <c r="AZ570" s="1313">
        <f t="shared" si="2"/>
        <v>0</v>
      </c>
      <c r="BA570" s="1314"/>
      <c r="BB570" s="1314"/>
      <c r="BC570" s="1314"/>
      <c r="BD570" s="1315"/>
      <c r="BE570" s="1370">
        <f t="shared" si="3"/>
        <v>0</v>
      </c>
      <c r="BF570" s="1371"/>
      <c r="BG570" s="1371"/>
      <c r="BH570" s="1371"/>
      <c r="BI570" s="1372"/>
      <c r="BJ570" s="1186"/>
      <c r="BK570" s="1187"/>
      <c r="BL570" s="1187"/>
      <c r="BM570" s="1187"/>
      <c r="BN570" s="1188"/>
      <c r="BO570" s="1186"/>
      <c r="BP570" s="1187"/>
      <c r="BQ570" s="1187"/>
      <c r="BR570" s="1187"/>
      <c r="BS570" s="1188"/>
      <c r="BT570" s="1186">
        <f>IF(AND(AND(AZ568+AZ569=0,BJ568+BO569=0,AP580=1)),1,0)</f>
        <v>0</v>
      </c>
      <c r="BU570" s="1187"/>
      <c r="BV570" s="1187"/>
      <c r="BW570" s="1187"/>
      <c r="BX570" s="1188"/>
      <c r="BY570" s="1186"/>
      <c r="BZ570" s="1187"/>
      <c r="CA570" s="1187"/>
      <c r="CB570" s="1187"/>
      <c r="CC570" s="1188"/>
      <c r="CD570" s="1186"/>
      <c r="CE570" s="1187"/>
      <c r="CF570" s="1187"/>
      <c r="CG570" s="1187"/>
      <c r="CH570" s="1188"/>
      <c r="CI570" s="1186"/>
      <c r="CJ570" s="1187"/>
      <c r="CK570" s="1187"/>
      <c r="CL570" s="1187"/>
      <c r="CM570" s="1188"/>
      <c r="CN570" s="21"/>
      <c r="CO570" s="21"/>
      <c r="CP570" s="21"/>
      <c r="CQ570" s="21"/>
      <c r="CR570" s="21"/>
    </row>
    <row r="571" spans="1:96" s="4" customFormat="1" ht="12.75" customHeight="1" thickBot="1">
      <c r="B571" s="5"/>
      <c r="C571" s="5"/>
      <c r="D571" s="5"/>
      <c r="E571" s="5"/>
      <c r="I571" s="1125"/>
      <c r="J571" s="1126"/>
      <c r="K571" s="1126"/>
      <c r="L571" s="1126"/>
      <c r="M571" s="1126"/>
      <c r="N571" s="1127"/>
      <c r="O571" s="1642">
        <v>0.1</v>
      </c>
      <c r="P571" s="1643"/>
      <c r="Q571" s="1668"/>
      <c r="R571" s="1669"/>
      <c r="S571" s="1657" t="s">
        <v>1839</v>
      </c>
      <c r="T571" s="1657"/>
      <c r="U571" s="1677">
        <v>5</v>
      </c>
      <c r="V571" s="1677"/>
      <c r="W571" s="1677">
        <v>7.5</v>
      </c>
      <c r="X571" s="1677"/>
      <c r="Y571" s="1677">
        <v>10</v>
      </c>
      <c r="Z571" s="1677"/>
      <c r="AA571" s="1677">
        <v>12.5</v>
      </c>
      <c r="AB571" s="1677"/>
      <c r="AC571" s="1677">
        <v>15</v>
      </c>
      <c r="AD571" s="1677"/>
      <c r="AE571" s="1871">
        <v>20</v>
      </c>
      <c r="AF571" s="1872"/>
      <c r="AK571" s="167"/>
      <c r="AL571" s="167"/>
      <c r="AM571" s="5"/>
      <c r="AN571" s="281"/>
      <c r="AP571" s="1745" t="str">
        <f t="shared" si="0"/>
        <v>2 BR</v>
      </c>
      <c r="AQ571" s="1746"/>
      <c r="AR571" s="1746"/>
      <c r="AS571" s="1746"/>
      <c r="AT571" s="1747"/>
      <c r="AU571" s="1313">
        <f t="shared" si="1"/>
        <v>0</v>
      </c>
      <c r="AV571" s="1314"/>
      <c r="AW571" s="1314"/>
      <c r="AX571" s="1314"/>
      <c r="AY571" s="1315"/>
      <c r="AZ571" s="1313">
        <f t="shared" si="2"/>
        <v>0</v>
      </c>
      <c r="BA571" s="1314"/>
      <c r="BB571" s="1314"/>
      <c r="BC571" s="1314"/>
      <c r="BD571" s="1315"/>
      <c r="BE571" s="1370">
        <f t="shared" si="3"/>
        <v>0</v>
      </c>
      <c r="BF571" s="1371"/>
      <c r="BG571" s="1371"/>
      <c r="BH571" s="1371"/>
      <c r="BI571" s="1372"/>
      <c r="BJ571" s="1186"/>
      <c r="BK571" s="1187"/>
      <c r="BL571" s="1187"/>
      <c r="BM571" s="1187"/>
      <c r="BN571" s="1188"/>
      <c r="BO571" s="1186"/>
      <c r="BP571" s="1187"/>
      <c r="BQ571" s="1187"/>
      <c r="BR571" s="1187"/>
      <c r="BS571" s="1188"/>
      <c r="BT571" s="1186"/>
      <c r="BU571" s="1187"/>
      <c r="BV571" s="1187"/>
      <c r="BW571" s="1187"/>
      <c r="BX571" s="1188"/>
      <c r="BY571" s="1186">
        <f>IF(AND(AND(AZ568+AZ569+AZ570=0,BO569+BT570+BJ568=0,AP581=1)),1,0)</f>
        <v>0</v>
      </c>
      <c r="BZ571" s="1187"/>
      <c r="CA571" s="1187"/>
      <c r="CB571" s="1187"/>
      <c r="CC571" s="1188"/>
      <c r="CD571" s="1186"/>
      <c r="CE571" s="1187"/>
      <c r="CF571" s="1187"/>
      <c r="CG571" s="1187"/>
      <c r="CH571" s="1188"/>
      <c r="CI571" s="1186"/>
      <c r="CJ571" s="1187"/>
      <c r="CK571" s="1187"/>
      <c r="CL571" s="1187"/>
      <c r="CM571" s="1188"/>
      <c r="CN571" s="21"/>
      <c r="CO571" s="21"/>
      <c r="CP571" s="21"/>
      <c r="CQ571" s="21"/>
      <c r="CR571" s="21"/>
    </row>
    <row r="572" spans="1:96" s="4" customFormat="1" ht="12.75" customHeight="1">
      <c r="B572" s="5"/>
      <c r="C572" s="5"/>
      <c r="D572" s="5"/>
      <c r="E572" s="1169" t="s">
        <v>981</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5" t="str">
        <f t="shared" si="0"/>
        <v>1 BR</v>
      </c>
      <c r="AQ572" s="1746"/>
      <c r="AR572" s="1746"/>
      <c r="AS572" s="1746"/>
      <c r="AT572" s="1747"/>
      <c r="AU572" s="1313">
        <f t="shared" si="1"/>
        <v>58</v>
      </c>
      <c r="AV572" s="1314"/>
      <c r="AW572" s="1314"/>
      <c r="AX572" s="1314"/>
      <c r="AY572" s="1315"/>
      <c r="AZ572" s="1313">
        <f t="shared" si="2"/>
        <v>14</v>
      </c>
      <c r="BA572" s="1314"/>
      <c r="BB572" s="1314"/>
      <c r="BC572" s="1314"/>
      <c r="BD572" s="1315"/>
      <c r="BE572" s="1370">
        <f t="shared" si="3"/>
        <v>0.2413793103448276</v>
      </c>
      <c r="BF572" s="1371"/>
      <c r="BG572" s="1371"/>
      <c r="BH572" s="1371"/>
      <c r="BI572" s="1372"/>
      <c r="BJ572" s="1186"/>
      <c r="BK572" s="1187"/>
      <c r="BL572" s="1187"/>
      <c r="BM572" s="1187"/>
      <c r="BN572" s="1188"/>
      <c r="BO572" s="1186"/>
      <c r="BP572" s="1187"/>
      <c r="BQ572" s="1187"/>
      <c r="BR572" s="1187"/>
      <c r="BS572" s="1188"/>
      <c r="BT572" s="1186"/>
      <c r="BU572" s="1187"/>
      <c r="BV572" s="1187"/>
      <c r="BW572" s="1187"/>
      <c r="BX572" s="1188"/>
      <c r="BY572" s="1186"/>
      <c r="BZ572" s="1187"/>
      <c r="CA572" s="1187"/>
      <c r="CB572" s="1187"/>
      <c r="CC572" s="1188"/>
      <c r="CD572" s="1186">
        <f>IF(AND(AND(BE569+BE570+BE571+BE568=0,BT570+BY571+BO569+BJ568=0,AP582=1)),1,0)</f>
        <v>0</v>
      </c>
      <c r="CE572" s="1187"/>
      <c r="CF572" s="1187"/>
      <c r="CG572" s="1187"/>
      <c r="CH572" s="1188"/>
      <c r="CI572" s="1186"/>
      <c r="CJ572" s="1187"/>
      <c r="CK572" s="1187"/>
      <c r="CL572" s="1187"/>
      <c r="CM572" s="1188"/>
      <c r="CN572" s="21"/>
      <c r="CO572" s="21"/>
      <c r="CP572" s="21"/>
      <c r="CQ572" s="21"/>
      <c r="CR572" s="21"/>
    </row>
    <row r="573" spans="1:96" s="4" customFormat="1" ht="12.75" customHeight="1">
      <c r="E573" s="1834"/>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5"/>
      <c r="AN573" s="281"/>
      <c r="AP573" s="1745" t="str">
        <f t="shared" si="0"/>
        <v>SRO</v>
      </c>
      <c r="AQ573" s="1746"/>
      <c r="AR573" s="1746"/>
      <c r="AS573" s="1746"/>
      <c r="AT573" s="1747"/>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6"/>
      <c r="BK573" s="1187"/>
      <c r="BL573" s="1187"/>
      <c r="BM573" s="1187"/>
      <c r="BN573" s="1188"/>
      <c r="BO573" s="1186"/>
      <c r="BP573" s="1187"/>
      <c r="BQ573" s="1187"/>
      <c r="BR573" s="1187"/>
      <c r="BS573" s="1188"/>
      <c r="BT573" s="1186"/>
      <c r="BU573" s="1187"/>
      <c r="BV573" s="1187"/>
      <c r="BW573" s="1187"/>
      <c r="BX573" s="1188"/>
      <c r="BY573" s="1186"/>
      <c r="BZ573" s="1187"/>
      <c r="CA573" s="1187"/>
      <c r="CB573" s="1187"/>
      <c r="CC573" s="1188"/>
      <c r="CD573" s="1186"/>
      <c r="CE573" s="1187"/>
      <c r="CF573" s="1187"/>
      <c r="CG573" s="1187"/>
      <c r="CH573" s="1188"/>
      <c r="CI573" s="1186">
        <f>IF(AND(AND(AZ570+AZ571+AZ572+AZ569+AZ568=0,BY571+CD572+BT570+BO569+BJ568=0,AP583=1)),1,0)</f>
        <v>0</v>
      </c>
      <c r="CJ573" s="1187"/>
      <c r="CK573" s="1187"/>
      <c r="CL573" s="1187"/>
      <c r="CM573" s="1188"/>
      <c r="CN573" s="21"/>
      <c r="CO573" s="21"/>
      <c r="CP573" s="21"/>
      <c r="CQ573" s="21"/>
      <c r="CR573" s="21"/>
    </row>
    <row r="574" spans="1:96" s="4" customFormat="1" ht="12.75" customHeight="1">
      <c r="E574" s="1865" t="s">
        <v>1574</v>
      </c>
      <c r="F574" s="1866"/>
      <c r="G574" s="1866"/>
      <c r="H574" s="1866"/>
      <c r="I574" s="1866"/>
      <c r="J574" s="1867"/>
      <c r="K574" s="1865" t="s">
        <v>1831</v>
      </c>
      <c r="L574" s="1866"/>
      <c r="M574" s="1866"/>
      <c r="N574" s="1866"/>
      <c r="O574" s="1866"/>
      <c r="P574" s="1867"/>
      <c r="Q574" s="1119" t="s">
        <v>1570</v>
      </c>
      <c r="R574" s="1120"/>
      <c r="S574" s="1120"/>
      <c r="T574" s="1120"/>
      <c r="U574" s="1120"/>
      <c r="V574" s="1121"/>
      <c r="W574" s="1119" t="str">
        <f>I563</f>
        <v>Percent of Low-Income Units (exclusive of manager’s units)</v>
      </c>
      <c r="X574" s="1120"/>
      <c r="Y574" s="1120"/>
      <c r="Z574" s="1120"/>
      <c r="AA574" s="1120"/>
      <c r="AB574" s="1121"/>
      <c r="AC574" s="1119" t="s">
        <v>1573</v>
      </c>
      <c r="AD574" s="1120"/>
      <c r="AE574" s="1120"/>
      <c r="AF574" s="1120"/>
      <c r="AG574" s="1120"/>
      <c r="AH574" s="1121"/>
      <c r="AN574" s="281"/>
      <c r="AP574" s="1745" t="str">
        <f t="shared" si="0"/>
        <v>Total:</v>
      </c>
      <c r="AQ574" s="1746"/>
      <c r="AR574" s="1746"/>
      <c r="AS574" s="1746"/>
      <c r="AT574" s="1747"/>
      <c r="AU574" s="1745"/>
      <c r="AV574" s="1746"/>
      <c r="AW574" s="1746"/>
      <c r="AX574" s="1746"/>
      <c r="AY574" s="1747"/>
      <c r="AZ574" s="1745"/>
      <c r="BA574" s="1746"/>
      <c r="BB574" s="1746"/>
      <c r="BC574" s="1746"/>
      <c r="BD574" s="1747"/>
      <c r="BE574" s="1745"/>
      <c r="BF574" s="1746"/>
      <c r="BG574" s="1746"/>
      <c r="BH574" s="1746"/>
      <c r="BI574" s="1747"/>
      <c r="BJ574" s="1186">
        <f>SUM(BJ568:BN573)</f>
        <v>0</v>
      </c>
      <c r="BK574" s="1187"/>
      <c r="BL574" s="1187"/>
      <c r="BM574" s="1187"/>
      <c r="BN574" s="1188"/>
      <c r="BO574" s="1186">
        <f>SUM(BO568:BS573)</f>
        <v>0</v>
      </c>
      <c r="BP574" s="1187"/>
      <c r="BQ574" s="1187"/>
      <c r="BR574" s="1187"/>
      <c r="BS574" s="1188"/>
      <c r="BT574" s="1186">
        <f>SUM(BT568:BX573)</f>
        <v>0</v>
      </c>
      <c r="BU574" s="1187"/>
      <c r="BV574" s="1187"/>
      <c r="BW574" s="1187"/>
      <c r="BX574" s="1188"/>
      <c r="BY574" s="1186">
        <f>SUM(BY568:CC573)</f>
        <v>0</v>
      </c>
      <c r="BZ574" s="1187"/>
      <c r="CA574" s="1187"/>
      <c r="CB574" s="1187"/>
      <c r="CC574" s="1188"/>
      <c r="CD574" s="1186">
        <f>SUM(CD568:CH573)</f>
        <v>0</v>
      </c>
      <c r="CE574" s="1187"/>
      <c r="CF574" s="1187"/>
      <c r="CG574" s="1187"/>
      <c r="CH574" s="1188"/>
      <c r="CI574" s="1186">
        <f>SUM(CI568:CM573)</f>
        <v>0</v>
      </c>
      <c r="CJ574" s="1187"/>
      <c r="CK574" s="1187"/>
      <c r="CL574" s="1187"/>
      <c r="CM574" s="1188"/>
      <c r="CN574" s="1186">
        <f>SUM(BJ574:CM574)</f>
        <v>0</v>
      </c>
      <c r="CO574" s="1187"/>
      <c r="CP574" s="1187"/>
      <c r="CQ574" s="1187"/>
      <c r="CR574" s="1188"/>
    </row>
    <row r="575" spans="1:96" s="4" customFormat="1" ht="12.75" customHeight="1">
      <c r="E575" s="1868"/>
      <c r="F575" s="1869"/>
      <c r="G575" s="1869"/>
      <c r="H575" s="1869"/>
      <c r="I575" s="1869"/>
      <c r="J575" s="1870"/>
      <c r="K575" s="1868"/>
      <c r="L575" s="1869"/>
      <c r="M575" s="1869"/>
      <c r="N575" s="1869"/>
      <c r="O575" s="1869"/>
      <c r="P575" s="1870"/>
      <c r="Q575" s="1122"/>
      <c r="R575" s="1123"/>
      <c r="S575" s="1123"/>
      <c r="T575" s="1123"/>
      <c r="U575" s="1123"/>
      <c r="V575" s="1124"/>
      <c r="W575" s="1122"/>
      <c r="X575" s="1123"/>
      <c r="Y575" s="1123"/>
      <c r="Z575" s="1123"/>
      <c r="AA575" s="1123"/>
      <c r="AB575" s="1124"/>
      <c r="AC575" s="1122"/>
      <c r="AD575" s="1123"/>
      <c r="AE575" s="1123"/>
      <c r="AF575" s="1123"/>
      <c r="AG575" s="1123"/>
      <c r="AH575" s="1124"/>
      <c r="AN575" s="281"/>
    </row>
    <row r="576" spans="1:96" s="4" customFormat="1" ht="12.75" customHeight="1">
      <c r="E576" s="1868"/>
      <c r="F576" s="1869"/>
      <c r="G576" s="1869"/>
      <c r="H576" s="1869"/>
      <c r="I576" s="1869"/>
      <c r="J576" s="1870"/>
      <c r="K576" s="1868"/>
      <c r="L576" s="1869"/>
      <c r="M576" s="1869"/>
      <c r="N576" s="1869"/>
      <c r="O576" s="1869"/>
      <c r="P576" s="1870"/>
      <c r="Q576" s="1122"/>
      <c r="R576" s="1123"/>
      <c r="S576" s="1123"/>
      <c r="T576" s="1123"/>
      <c r="U576" s="1123"/>
      <c r="V576" s="1124"/>
      <c r="W576" s="1122"/>
      <c r="X576" s="1123"/>
      <c r="Y576" s="1123"/>
      <c r="Z576" s="1123"/>
      <c r="AA576" s="1123"/>
      <c r="AB576" s="1124"/>
      <c r="AC576" s="1122"/>
      <c r="AD576" s="1123"/>
      <c r="AE576" s="1123"/>
      <c r="AF576" s="1123"/>
      <c r="AG576" s="1123"/>
      <c r="AH576" s="1124"/>
      <c r="AN576" s="281"/>
    </row>
    <row r="577" spans="2:69" s="4" customFormat="1" ht="12.75" customHeight="1">
      <c r="E577" s="1868"/>
      <c r="F577" s="1869"/>
      <c r="G577" s="1869"/>
      <c r="H577" s="1869"/>
      <c r="I577" s="1869"/>
      <c r="J577" s="1870"/>
      <c r="K577" s="1868"/>
      <c r="L577" s="1869"/>
      <c r="M577" s="1869"/>
      <c r="N577" s="1869"/>
      <c r="O577" s="1869"/>
      <c r="P577" s="1870"/>
      <c r="Q577" s="1122"/>
      <c r="R577" s="1123"/>
      <c r="S577" s="1123"/>
      <c r="T577" s="1123"/>
      <c r="U577" s="1123"/>
      <c r="V577" s="1124"/>
      <c r="W577" s="1122"/>
      <c r="X577" s="1123"/>
      <c r="Y577" s="1123"/>
      <c r="Z577" s="1123"/>
      <c r="AA577" s="1123"/>
      <c r="AB577" s="1124"/>
      <c r="AC577" s="1122"/>
      <c r="AD577" s="1123"/>
      <c r="AE577" s="1123"/>
      <c r="AF577" s="1123"/>
      <c r="AG577" s="1123"/>
      <c r="AH577" s="1124"/>
      <c r="AN577" s="281"/>
      <c r="AP577" s="3" t="s">
        <v>1172</v>
      </c>
      <c r="BH577" s="3" t="s">
        <v>1173</v>
      </c>
    </row>
    <row r="578" spans="2:69" s="4" customFormat="1" ht="12.75" customHeight="1">
      <c r="E578" s="1716"/>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1" t="s">
        <v>830</v>
      </c>
      <c r="AY578" s="1743"/>
      <c r="AZ578" s="1743"/>
      <c r="BA578" s="1743"/>
      <c r="BB578" s="1743"/>
      <c r="BC578" s="1743"/>
      <c r="BD578" s="1743"/>
      <c r="BE578" s="1743"/>
      <c r="BF578" s="1743"/>
      <c r="BG578" s="1743"/>
      <c r="BH578" s="1743"/>
      <c r="BI578" s="1743"/>
      <c r="BJ578" s="1743"/>
      <c r="BK578" s="1743"/>
      <c r="BL578" s="1743"/>
      <c r="BM578" s="1743"/>
      <c r="BN578" s="1743"/>
      <c r="BO578" s="1743"/>
      <c r="BP578" s="1743"/>
      <c r="BQ578" s="1742"/>
    </row>
    <row r="579" spans="2:69" s="4" customFormat="1" ht="12.75" customHeight="1">
      <c r="E579" s="1660">
        <f>+[1]EVERYTHING!$R$12</f>
        <v>14</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24.137931034482758</v>
      </c>
      <c r="R579" s="1650"/>
      <c r="S579" s="1650"/>
      <c r="T579" s="1650"/>
      <c r="U579" s="1650"/>
      <c r="V579" s="1651"/>
      <c r="W579" s="1652">
        <f>IF(FLOOR(Q579,5)&gt;80,80,FLOOR(Q579,5))</f>
        <v>20</v>
      </c>
      <c r="X579" s="1653"/>
      <c r="Y579" s="1653"/>
      <c r="Z579" s="1653"/>
      <c r="AA579" s="1653"/>
      <c r="AB579" s="1654"/>
      <c r="AC579" s="1652">
        <f t="shared" si="4"/>
        <v>30</v>
      </c>
      <c r="AD579" s="1653"/>
      <c r="AE579" s="1653"/>
      <c r="AF579" s="1653"/>
      <c r="AG579" s="1653"/>
      <c r="AH579" s="1654"/>
      <c r="AN579" s="281"/>
      <c r="AO579" s="4">
        <v>4</v>
      </c>
      <c r="AP579" s="1646">
        <f t="shared" si="5"/>
        <v>0</v>
      </c>
      <c r="AQ579" s="1647"/>
      <c r="AR579" s="1647"/>
      <c r="AS579" s="1647"/>
      <c r="AT579" s="1648"/>
      <c r="AX579" s="1761" t="s">
        <v>650</v>
      </c>
      <c r="AY579" s="1762"/>
      <c r="AZ579" s="1242" t="s">
        <v>650</v>
      </c>
      <c r="BA579" s="1243"/>
      <c r="BB579" s="1761" t="s">
        <v>279</v>
      </c>
      <c r="BC579" s="1762"/>
      <c r="BD579" s="1751" t="s">
        <v>279</v>
      </c>
      <c r="BE579" s="1753"/>
      <c r="BF579" s="1761" t="s">
        <v>278</v>
      </c>
      <c r="BG579" s="1762"/>
      <c r="BH579" s="1751" t="s">
        <v>278</v>
      </c>
      <c r="BI579" s="1753"/>
      <c r="BJ579" s="1761" t="s">
        <v>277</v>
      </c>
      <c r="BK579" s="1762"/>
      <c r="BL579" s="1751" t="s">
        <v>277</v>
      </c>
      <c r="BM579" s="1753"/>
      <c r="BN579" s="1761" t="s">
        <v>649</v>
      </c>
      <c r="BO579" s="1762"/>
      <c r="BP579" s="1751" t="s">
        <v>649</v>
      </c>
      <c r="BQ579" s="1753"/>
    </row>
    <row r="580" spans="2:69" s="4" customFormat="1" ht="12.75" customHeight="1">
      <c r="E580" s="1716"/>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1">
        <f>IF(AP530=1,1,0)</f>
        <v>0</v>
      </c>
      <c r="AY580" s="1762"/>
      <c r="AZ580" s="1741"/>
      <c r="BA580" s="1742"/>
      <c r="BB580" s="1759"/>
      <c r="BC580" s="1760"/>
      <c r="BD580" s="1751">
        <f>IF(AND(T605&gt;0,AP530&gt;0),1,0)</f>
        <v>0</v>
      </c>
      <c r="BE580" s="1753"/>
      <c r="BF580" s="1759"/>
      <c r="BG580" s="1760"/>
      <c r="BH580" s="1751">
        <f>IF(AND(T605&gt;0,AP530&gt;0),1,0)</f>
        <v>0</v>
      </c>
      <c r="BI580" s="1753"/>
      <c r="BJ580" s="1759"/>
      <c r="BK580" s="1760"/>
      <c r="BL580" s="1751">
        <f>IF(AND(T605&gt;0,AP530&gt;0),1,0)</f>
        <v>0</v>
      </c>
      <c r="BM580" s="1753"/>
      <c r="BN580" s="1759"/>
      <c r="BO580" s="1760"/>
      <c r="BP580" s="1751">
        <f>IF(AND(T605&gt;0,AP530&gt;0),1,0)</f>
        <v>0</v>
      </c>
      <c r="BQ580" s="1753"/>
    </row>
    <row r="581" spans="2:69" s="4" customFormat="1" ht="12.75" customHeight="1">
      <c r="E581" s="1716"/>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0</v>
      </c>
      <c r="AQ581" s="1647"/>
      <c r="AR581" s="1647"/>
      <c r="AS581" s="1647"/>
      <c r="AT581" s="1648"/>
      <c r="AX581" s="1759"/>
      <c r="AY581" s="1760"/>
      <c r="AZ581" s="1741"/>
      <c r="BA581" s="1742"/>
      <c r="BB581" s="1761">
        <f>IF(AP531=1,1,0)</f>
        <v>0</v>
      </c>
      <c r="BC581" s="1762"/>
      <c r="BD581" s="1741"/>
      <c r="BE581" s="1742"/>
      <c r="BF581" s="1759"/>
      <c r="BG581" s="1760"/>
      <c r="BH581" s="1751">
        <f>IF(AND(T606&gt;0,AP531&gt;0),1,0)</f>
        <v>0</v>
      </c>
      <c r="BI581" s="1753"/>
      <c r="BJ581" s="1759"/>
      <c r="BK581" s="1760"/>
      <c r="BL581" s="1751">
        <f>IF(AND(T606&gt;0,AP531&gt;0),1,0)</f>
        <v>0</v>
      </c>
      <c r="BM581" s="1753"/>
      <c r="BN581" s="1759"/>
      <c r="BO581" s="1760"/>
      <c r="BP581" s="1751">
        <f>IF(AND(T606&gt;0,AP531&gt;0),1,0)</f>
        <v>0</v>
      </c>
      <c r="BQ581" s="1753"/>
    </row>
    <row r="582" spans="2:69" s="4" customFormat="1" ht="12.75" customHeight="1">
      <c r="E582" s="1660">
        <f>+[1]EVERYTHING!$R$13</f>
        <v>9</v>
      </c>
      <c r="F582" s="1661"/>
      <c r="G582" s="1661"/>
      <c r="H582" s="1661"/>
      <c r="I582" s="1661"/>
      <c r="J582" s="1662"/>
      <c r="K582" s="1646">
        <v>45</v>
      </c>
      <c r="L582" s="1647"/>
      <c r="M582" s="1647"/>
      <c r="N582" s="1647"/>
      <c r="O582" s="1647"/>
      <c r="P582" s="1648"/>
      <c r="Q582" s="1649">
        <f t="shared" si="6"/>
        <v>15.517241379310345</v>
      </c>
      <c r="R582" s="1650"/>
      <c r="S582" s="1650"/>
      <c r="T582" s="1650"/>
      <c r="U582" s="1650"/>
      <c r="V582" s="1651"/>
      <c r="W582" s="1652">
        <f>IF(FLOOR(Q582,5)&gt;65,65,FLOOR(Q582,5))</f>
        <v>15</v>
      </c>
      <c r="X582" s="1653"/>
      <c r="Y582" s="1653"/>
      <c r="Z582" s="1653"/>
      <c r="AA582" s="1653"/>
      <c r="AB582" s="1654"/>
      <c r="AC582" s="1652">
        <f t="shared" si="4"/>
        <v>11.3</v>
      </c>
      <c r="AD582" s="1653"/>
      <c r="AE582" s="1653"/>
      <c r="AF582" s="1653"/>
      <c r="AG582" s="1653"/>
      <c r="AH582" s="1654"/>
      <c r="AN582" s="281"/>
      <c r="AO582" s="4">
        <v>1</v>
      </c>
      <c r="AP582" s="1646">
        <f t="shared" si="5"/>
        <v>0</v>
      </c>
      <c r="AQ582" s="1647"/>
      <c r="AR582" s="1647"/>
      <c r="AS582" s="1647"/>
      <c r="AT582" s="1648"/>
      <c r="AX582" s="1759"/>
      <c r="AY582" s="1760"/>
      <c r="AZ582" s="1741"/>
      <c r="BA582" s="1742"/>
      <c r="BB582" s="1759"/>
      <c r="BC582" s="1760"/>
      <c r="BD582" s="1741"/>
      <c r="BE582" s="1742"/>
      <c r="BF582" s="1761">
        <f>IF(AP532=1,1,0)</f>
        <v>0</v>
      </c>
      <c r="BG582" s="1762"/>
      <c r="BH582" s="1741"/>
      <c r="BI582" s="1742"/>
      <c r="BJ582" s="1759"/>
      <c r="BK582" s="1760"/>
      <c r="BL582" s="1751">
        <f>IF(AND(T607&gt;0,AP532&gt;0),1,0)</f>
        <v>0</v>
      </c>
      <c r="BM582" s="1753"/>
      <c r="BN582" s="1759"/>
      <c r="BO582" s="1760"/>
      <c r="BP582" s="1751">
        <f>IF(AND(T607&gt;0,AP532&gt;0),1,0)</f>
        <v>0</v>
      </c>
      <c r="BQ582" s="1753"/>
    </row>
    <row r="583" spans="2:69" s="4" customFormat="1" ht="12.75" customHeight="1">
      <c r="E583" s="1660">
        <f>+[1]EVERYTHING!$R$14</f>
        <v>35</v>
      </c>
      <c r="F583" s="1661"/>
      <c r="G583" s="1661"/>
      <c r="H583" s="1661"/>
      <c r="I583" s="1661"/>
      <c r="J583" s="1662"/>
      <c r="K583" s="1646">
        <v>50</v>
      </c>
      <c r="L583" s="1647"/>
      <c r="M583" s="1647"/>
      <c r="N583" s="1647"/>
      <c r="O583" s="1647"/>
      <c r="P583" s="1648"/>
      <c r="Q583" s="1649">
        <f t="shared" si="6"/>
        <v>60.344827586206897</v>
      </c>
      <c r="R583" s="1650"/>
      <c r="S583" s="1650"/>
      <c r="T583" s="1650"/>
      <c r="U583" s="1650"/>
      <c r="V583" s="1651"/>
      <c r="W583" s="1652">
        <f>IF(FLOOR(Q583,5)&gt;40,40,FLOOR(Q583,5))</f>
        <v>40</v>
      </c>
      <c r="X583" s="1653"/>
      <c r="Y583" s="1653"/>
      <c r="Z583" s="1653"/>
      <c r="AA583" s="1653"/>
      <c r="AB583" s="1654"/>
      <c r="AC583" s="1652">
        <f t="shared" si="4"/>
        <v>20</v>
      </c>
      <c r="AD583" s="1653"/>
      <c r="AE583" s="1653"/>
      <c r="AF583" s="1653"/>
      <c r="AG583" s="1653"/>
      <c r="AH583" s="1654"/>
      <c r="AN583" s="281"/>
      <c r="AO583" s="4">
        <v>0</v>
      </c>
      <c r="AP583" s="1646">
        <f t="shared" si="5"/>
        <v>0</v>
      </c>
      <c r="AQ583" s="1647"/>
      <c r="AR583" s="1647"/>
      <c r="AS583" s="1647"/>
      <c r="AT583" s="1648"/>
      <c r="AX583" s="1759"/>
      <c r="AY583" s="1760"/>
      <c r="AZ583" s="1741"/>
      <c r="BA583" s="1742"/>
      <c r="BB583" s="1759"/>
      <c r="BC583" s="1760"/>
      <c r="BD583" s="1741"/>
      <c r="BE583" s="1742"/>
      <c r="BF583" s="1759"/>
      <c r="BG583" s="1760"/>
      <c r="BH583" s="1741"/>
      <c r="BI583" s="1742"/>
      <c r="BJ583" s="1761">
        <f>IF(AP533=1,1,0)</f>
        <v>1</v>
      </c>
      <c r="BK583" s="1762"/>
      <c r="BL583" s="1759"/>
      <c r="BM583" s="1760"/>
      <c r="BN583" s="1759"/>
      <c r="BO583" s="1760"/>
      <c r="BP583" s="1751">
        <f>IF(AND(T608&gt;0,AP533&gt;0),1,0)</f>
        <v>1</v>
      </c>
      <c r="BQ583" s="1753"/>
    </row>
    <row r="584" spans="2:69" s="4" customFormat="1" ht="12.75" customHeight="1">
      <c r="E584" s="1733"/>
      <c r="F584" s="1734"/>
      <c r="G584" s="1734"/>
      <c r="H584" s="1734"/>
      <c r="I584" s="1734"/>
      <c r="J584" s="1735"/>
      <c r="K584" s="1729">
        <f>IF(OR(Application!D211="Rural",Application!D211="Rural apportionment (Section 514)",Application!D211="Rural apportionment (Section 515)",Application!D211="Rural apportionment (HOME)",Application!D211="Rural (Native American apportionment)"),50,0)</f>
        <v>0</v>
      </c>
      <c r="L584" s="1730"/>
      <c r="M584" s="1731" t="s">
        <v>1925</v>
      </c>
      <c r="N584" s="1731"/>
      <c r="O584" s="1731"/>
      <c r="P584" s="1732"/>
      <c r="Q584" s="1649">
        <f t="shared" si="6"/>
        <v>0</v>
      </c>
      <c r="R584" s="1650"/>
      <c r="S584" s="1650"/>
      <c r="T584" s="1650"/>
      <c r="U584" s="1650"/>
      <c r="V584" s="165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6"/>
      <c r="AQ584" s="1647"/>
      <c r="AR584" s="1647"/>
      <c r="AS584" s="1647"/>
      <c r="AT584" s="1648"/>
      <c r="AX584" s="1759"/>
      <c r="AY584" s="1760"/>
      <c r="AZ584" s="1741"/>
      <c r="BA584" s="1742"/>
      <c r="BB584" s="1759"/>
      <c r="BC584" s="1760"/>
      <c r="BD584" s="1741"/>
      <c r="BE584" s="1742"/>
      <c r="BF584" s="1759"/>
      <c r="BG584" s="1760"/>
      <c r="BH584" s="1741"/>
      <c r="BI584" s="1742"/>
      <c r="BJ584" s="1759"/>
      <c r="BK584" s="1760"/>
      <c r="BL584" s="1759"/>
      <c r="BM584" s="1760"/>
      <c r="BN584" s="1761">
        <f>IF(AP534=1,1,0)</f>
        <v>0</v>
      </c>
      <c r="BO584" s="1762"/>
      <c r="BP584" s="1741"/>
      <c r="BQ584" s="1742"/>
    </row>
    <row r="585" spans="2:69" s="4" customFormat="1" ht="12.75" customHeight="1">
      <c r="E585" s="1733"/>
      <c r="F585" s="1734"/>
      <c r="G585" s="1734"/>
      <c r="H585" s="1734"/>
      <c r="I585" s="1734"/>
      <c r="J585" s="1735"/>
      <c r="K585" s="1729">
        <f>IF(OR(Application!D211="Rural",Application!D211="Rural apportionment (Section 514)",Application!D211="Rural apportionment (Section 515)",Application!D211="Rural apportionment (HOME)",Application!D211="Rural (Native American apportionment)"),55,0)</f>
        <v>0</v>
      </c>
      <c r="L585" s="1730"/>
      <c r="M585" s="1731" t="s">
        <v>1925</v>
      </c>
      <c r="N585" s="1731"/>
      <c r="O585" s="1731"/>
      <c r="P585" s="1732"/>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1">
        <f>SUM(AX580:AY584)</f>
        <v>0</v>
      </c>
      <c r="AY585" s="1762"/>
      <c r="AZ585" s="1751">
        <f>SUM(AZ581:BA584)</f>
        <v>0</v>
      </c>
      <c r="BA585" s="1753"/>
      <c r="BB585" s="1761">
        <f>SUM(BB581:BC584)</f>
        <v>0</v>
      </c>
      <c r="BC585" s="1762"/>
      <c r="BD585" s="1751">
        <f>SUM(BD580:BE584)</f>
        <v>0</v>
      </c>
      <c r="BE585" s="1753"/>
      <c r="BF585" s="1761">
        <f>SUM(BF582:BG584)</f>
        <v>0</v>
      </c>
      <c r="BG585" s="1762"/>
      <c r="BH585" s="1751">
        <f>SUM(BH580:BI584)</f>
        <v>0</v>
      </c>
      <c r="BI585" s="1753"/>
      <c r="BJ585" s="1761">
        <f>SUM(BJ580:BK584)</f>
        <v>1</v>
      </c>
      <c r="BK585" s="1762"/>
      <c r="BL585" s="1751">
        <f>SUM(BL580:BM584)</f>
        <v>0</v>
      </c>
      <c r="BM585" s="1753"/>
      <c r="BN585" s="1761">
        <f>SUM(BN580:BO584)</f>
        <v>0</v>
      </c>
      <c r="BO585" s="1762"/>
      <c r="BP585" s="1751">
        <f>SUM(BP580:BQ584)</f>
        <v>1</v>
      </c>
      <c r="BQ585" s="1753"/>
    </row>
    <row r="586" spans="2:69" s="4" customFormat="1" ht="12.75" customHeight="1">
      <c r="E586" s="1716"/>
      <c r="F586" s="1661"/>
      <c r="G586" s="1661"/>
      <c r="H586" s="1661"/>
      <c r="I586" s="1661"/>
      <c r="J586" s="1662"/>
      <c r="K586" s="1646" t="s">
        <v>2245</v>
      </c>
      <c r="L586" s="1647"/>
      <c r="M586" s="1647"/>
      <c r="N586" s="1647"/>
      <c r="O586" s="1647"/>
      <c r="P586" s="1648"/>
      <c r="Q586" s="1649">
        <f t="shared" si="6"/>
        <v>0</v>
      </c>
      <c r="R586" s="1650"/>
      <c r="S586" s="1650"/>
      <c r="T586" s="1650"/>
      <c r="U586" s="1650"/>
      <c r="V586" s="1651"/>
      <c r="W586" s="1652">
        <f t="shared" si="7"/>
        <v>0</v>
      </c>
      <c r="X586" s="1653"/>
      <c r="Y586" s="1653"/>
      <c r="Z586" s="1653"/>
      <c r="AA586" s="1653"/>
      <c r="AB586" s="1654"/>
      <c r="AC586" s="1652">
        <v>0</v>
      </c>
      <c r="AD586" s="1653"/>
      <c r="AE586" s="1653"/>
      <c r="AF586" s="1653"/>
      <c r="AG586" s="1653"/>
      <c r="AH586" s="1654"/>
      <c r="AN586" s="281"/>
      <c r="AX586" s="1756">
        <f>IF(AND(AX585=1,AZ585&gt;1),1,0)</f>
        <v>0</v>
      </c>
      <c r="AY586" s="1757"/>
      <c r="AZ586" s="1757"/>
      <c r="BA586" s="1758"/>
      <c r="BB586" s="1756">
        <f>IF(AND(BB585=1,BD585&gt;=1),1,0)</f>
        <v>0</v>
      </c>
      <c r="BC586" s="1757"/>
      <c r="BD586" s="1757"/>
      <c r="BE586" s="1758"/>
      <c r="BF586" s="1756">
        <f>IF(AND(BF585=1,BH585&gt;=1),1,0)</f>
        <v>0</v>
      </c>
      <c r="BG586" s="1757"/>
      <c r="BH586" s="1757"/>
      <c r="BI586" s="1758"/>
      <c r="BJ586" s="1756">
        <f>IF(AND(BJ585=1,BL585&gt;=1),1,0)</f>
        <v>0</v>
      </c>
      <c r="BK586" s="1757"/>
      <c r="BL586" s="1757"/>
      <c r="BM586" s="1758"/>
      <c r="BN586" s="1756">
        <f>IF(AND(BN585=1,BP585&gt;=1),1,0)</f>
        <v>0</v>
      </c>
      <c r="BO586" s="1757"/>
      <c r="BP586" s="1757"/>
      <c r="BQ586" s="1758"/>
    </row>
    <row r="587" spans="2:69" s="4" customFormat="1" ht="12.75" customHeight="1">
      <c r="E587" s="954"/>
      <c r="F587" s="955"/>
      <c r="G587" s="955"/>
      <c r="H587" s="955"/>
      <c r="I587" s="955"/>
      <c r="J587" s="956"/>
      <c r="K587" s="1646" t="s">
        <v>2246</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644</v>
      </c>
      <c r="BJ587" s="1756">
        <f>AX586+BB586+BF586+BJ586+BN586</f>
        <v>0</v>
      </c>
      <c r="BK587" s="1757"/>
      <c r="BL587" s="1757"/>
      <c r="BM587" s="1758"/>
      <c r="BN587"/>
      <c r="BO587"/>
      <c r="BP587"/>
      <c r="BQ587"/>
    </row>
    <row r="588" spans="2:69" s="4" customFormat="1" ht="12.75" customHeight="1">
      <c r="E588" s="954"/>
      <c r="F588" s="955"/>
      <c r="G588" s="955"/>
      <c r="H588" s="955"/>
      <c r="I588" s="955"/>
      <c r="J588" s="956"/>
      <c r="K588" s="1646" t="s">
        <v>2247</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643</v>
      </c>
      <c r="BK588"/>
      <c r="BL588"/>
      <c r="BM588"/>
      <c r="BN588"/>
      <c r="BO588"/>
      <c r="BP588"/>
      <c r="BQ588"/>
    </row>
    <row r="589" spans="2:69" s="4" customFormat="1" ht="12.75" customHeight="1">
      <c r="E589" s="1705">
        <f>SUM(E578:J588)</f>
        <v>58</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639</v>
      </c>
      <c r="AC589" s="1836">
        <f>IF(SUM(AC578:AH588)&gt;0,SUM(AC578:AH588),0)</f>
        <v>61.3</v>
      </c>
      <c r="AD589" s="1837"/>
      <c r="AE589" s="1837"/>
      <c r="AF589" s="1837"/>
      <c r="AG589" s="1837"/>
      <c r="AH589" s="183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78" t="s">
        <v>111</v>
      </c>
      <c r="AH592" s="1678"/>
      <c r="AI592" s="1678"/>
      <c r="AJ592" s="1678"/>
      <c r="AK592" s="5"/>
      <c r="AL592" s="5"/>
      <c r="AM592" s="5"/>
      <c r="AN592" s="281"/>
    </row>
    <row r="593" spans="1:60" s="4" customFormat="1" ht="12.75" customHeight="1">
      <c r="B593" s="1859" t="s">
        <v>2235</v>
      </c>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c r="AA593" s="1859"/>
      <c r="AB593" s="1859"/>
      <c r="AC593" s="1859"/>
      <c r="AD593" s="1859"/>
      <c r="AE593" s="1859"/>
      <c r="AF593" s="1859"/>
      <c r="AG593" s="1859"/>
      <c r="AH593" s="1859"/>
      <c r="AI593" s="21"/>
      <c r="AJ593" s="21"/>
      <c r="AK593"/>
      <c r="AL593"/>
      <c r="AM593"/>
      <c r="AN593" s="281"/>
    </row>
    <row r="594" spans="1:60" s="4" customFormat="1" ht="12.75" customHeight="1">
      <c r="A594" s="21"/>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c r="AA594" s="1859"/>
      <c r="AB594" s="1859"/>
      <c r="AC594" s="1859"/>
      <c r="AD594" s="1859"/>
      <c r="AE594" s="1859"/>
      <c r="AF594" s="1859"/>
      <c r="AG594" s="1859"/>
      <c r="AH594" s="1859"/>
      <c r="AI594" s="21"/>
      <c r="AJ594" s="21"/>
      <c r="AK594"/>
      <c r="AL594"/>
      <c r="AM594"/>
      <c r="AN594" s="281"/>
    </row>
    <row r="595" spans="1:60" s="4" customFormat="1" ht="12.75" customHeight="1">
      <c r="A595" s="21"/>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c r="AA595" s="1859"/>
      <c r="AB595" s="1859"/>
      <c r="AC595" s="1859"/>
      <c r="AD595" s="1859"/>
      <c r="AE595" s="1859"/>
      <c r="AF595" s="1859"/>
      <c r="AG595" s="1859"/>
      <c r="AH595" s="1859"/>
      <c r="AI595" s="21"/>
      <c r="AJ595" s="21"/>
      <c r="AK595"/>
      <c r="AL595"/>
      <c r="AM595"/>
      <c r="AN595" s="281"/>
    </row>
    <row r="596" spans="1:60" s="4" customFormat="1" ht="12.75" customHeight="1">
      <c r="A596" s="21"/>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c r="AA596" s="1859"/>
      <c r="AB596" s="1859"/>
      <c r="AC596" s="1859"/>
      <c r="AD596" s="1859"/>
      <c r="AE596" s="1859"/>
      <c r="AF596" s="1859"/>
      <c r="AG596" s="1859"/>
      <c r="AH596" s="1859"/>
      <c r="AI596" s="21"/>
      <c r="AJ596" s="21"/>
      <c r="AK596"/>
      <c r="AL596"/>
      <c r="AM596"/>
      <c r="AN596" s="676"/>
    </row>
    <row r="597" spans="1:60">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c r="AA597" s="1859"/>
      <c r="AB597" s="1859"/>
      <c r="AC597" s="1859"/>
      <c r="AD597" s="1859"/>
      <c r="AE597" s="1859"/>
      <c r="AF597" s="1859"/>
      <c r="AG597" s="1859"/>
      <c r="AH597" s="1859"/>
      <c r="AK597"/>
      <c r="AL597"/>
      <c r="AM597"/>
      <c r="BD597" s="21"/>
      <c r="BE597" s="21"/>
      <c r="BF597" s="21"/>
      <c r="BG597" s="21"/>
      <c r="BH597" s="21"/>
    </row>
    <row r="598" spans="1:60" ht="12.75" customHeight="1">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c r="AA598" s="1859"/>
      <c r="AB598" s="1859"/>
      <c r="AC598" s="1859"/>
      <c r="AD598" s="1859"/>
      <c r="AE598" s="1859"/>
      <c r="AF598" s="1859"/>
      <c r="AG598" s="1859"/>
      <c r="AH598" s="1859"/>
    </row>
    <row r="599" spans="1:60" ht="12.75" customHeight="1">
      <c r="E599" s="162"/>
    </row>
    <row r="600" spans="1:60">
      <c r="J600" s="1797" t="s">
        <v>831</v>
      </c>
      <c r="K600" s="1798"/>
      <c r="L600" s="1798"/>
      <c r="M600" s="1798"/>
      <c r="N600" s="1799"/>
      <c r="O600" s="1119" t="s">
        <v>1571</v>
      </c>
      <c r="P600" s="1120"/>
      <c r="Q600" s="1120"/>
      <c r="R600" s="1120"/>
      <c r="S600" s="1121"/>
      <c r="T600" s="1119" t="s">
        <v>1841</v>
      </c>
      <c r="U600" s="1120"/>
      <c r="V600" s="1120"/>
      <c r="W600" s="1120"/>
      <c r="X600" s="1121"/>
      <c r="Y600" s="1119" t="s">
        <v>1572</v>
      </c>
      <c r="Z600" s="1120"/>
      <c r="AA600" s="1120"/>
      <c r="AB600" s="1120"/>
      <c r="AC600" s="1121"/>
      <c r="AF600"/>
      <c r="AG600"/>
      <c r="AH600"/>
      <c r="AI600"/>
      <c r="AJ600"/>
    </row>
    <row r="601" spans="1:60">
      <c r="D601"/>
      <c r="E601"/>
      <c r="F601"/>
      <c r="G601"/>
      <c r="H601"/>
      <c r="I601"/>
      <c r="J601" s="1800"/>
      <c r="K601" s="1801"/>
      <c r="L601" s="1801"/>
      <c r="M601" s="1801"/>
      <c r="N601" s="1802"/>
      <c r="O601" s="1122"/>
      <c r="P601" s="1123"/>
      <c r="Q601" s="1123"/>
      <c r="R601" s="1123"/>
      <c r="S601" s="1124"/>
      <c r="T601" s="1122"/>
      <c r="U601" s="1123"/>
      <c r="V601" s="1123"/>
      <c r="W601" s="1123"/>
      <c r="X601" s="1124"/>
      <c r="Y601" s="1122"/>
      <c r="Z601" s="1123"/>
      <c r="AA601" s="1123"/>
      <c r="AB601" s="1123"/>
      <c r="AC601" s="1124"/>
      <c r="AF601"/>
      <c r="AG601"/>
      <c r="AH601"/>
      <c r="AI601"/>
      <c r="AJ601"/>
    </row>
    <row r="602" spans="1:60">
      <c r="I602"/>
      <c r="J602" s="1800"/>
      <c r="K602" s="1801"/>
      <c r="L602" s="1801"/>
      <c r="M602" s="1801"/>
      <c r="N602" s="1802"/>
      <c r="O602" s="1122"/>
      <c r="P602" s="1123"/>
      <c r="Q602" s="1123"/>
      <c r="R602" s="1123"/>
      <c r="S602" s="1124"/>
      <c r="T602" s="1122"/>
      <c r="U602" s="1123"/>
      <c r="V602" s="1123"/>
      <c r="W602" s="1123"/>
      <c r="X602" s="1124"/>
      <c r="Y602" s="1122"/>
      <c r="Z602" s="1123"/>
      <c r="AA602" s="1123"/>
      <c r="AB602" s="1123"/>
      <c r="AC602" s="1124"/>
      <c r="AD602"/>
      <c r="AF602"/>
      <c r="AG602"/>
      <c r="AH602"/>
      <c r="AI602"/>
      <c r="AJ602"/>
    </row>
    <row r="603" spans="1:60">
      <c r="D603"/>
      <c r="E603"/>
      <c r="F603"/>
      <c r="G603"/>
      <c r="H603"/>
      <c r="I603"/>
      <c r="J603" s="1800"/>
      <c r="K603" s="1801"/>
      <c r="L603" s="1801"/>
      <c r="M603" s="1801"/>
      <c r="N603" s="1802"/>
      <c r="O603" s="1122"/>
      <c r="P603" s="1123"/>
      <c r="Q603" s="1123"/>
      <c r="R603" s="1123"/>
      <c r="S603" s="1124"/>
      <c r="T603" s="1122"/>
      <c r="U603" s="1123"/>
      <c r="V603" s="1123"/>
      <c r="W603" s="1123"/>
      <c r="X603" s="1124"/>
      <c r="Y603" s="1122"/>
      <c r="Z603" s="1123"/>
      <c r="AA603" s="1123"/>
      <c r="AB603" s="1123"/>
      <c r="AC603" s="1124"/>
      <c r="AD603"/>
      <c r="AF603"/>
      <c r="AG603"/>
      <c r="AH603"/>
      <c r="AI603"/>
      <c r="AJ603"/>
    </row>
    <row r="604" spans="1:60">
      <c r="D604"/>
      <c r="E604"/>
      <c r="F604"/>
      <c r="G604"/>
      <c r="H604"/>
      <c r="I604"/>
      <c r="J604" s="1717" t="s">
        <v>239</v>
      </c>
      <c r="K604" s="1718"/>
      <c r="L604" s="1718"/>
      <c r="M604" s="1718"/>
      <c r="N604" s="1719"/>
      <c r="O604" s="1646">
        <f>Application!CM613</f>
        <v>0</v>
      </c>
      <c r="P604" s="1647"/>
      <c r="Q604" s="1647"/>
      <c r="R604" s="1647"/>
      <c r="S604" s="1648"/>
      <c r="T604" s="1646">
        <f>Application!DR614</f>
        <v>0</v>
      </c>
      <c r="U604" s="1647"/>
      <c r="V604" s="1647"/>
      <c r="W604" s="1647"/>
      <c r="X604" s="1648"/>
      <c r="Y604" s="1720">
        <f t="shared" ref="Y604:Y609" si="8">IF(T604&gt;0,T604/O604,0)</f>
        <v>0</v>
      </c>
      <c r="Z604" s="1721"/>
      <c r="AA604" s="1721"/>
      <c r="AB604" s="1721"/>
      <c r="AC604" s="1722"/>
      <c r="AD604"/>
      <c r="AF604"/>
      <c r="AG604"/>
      <c r="AH604"/>
      <c r="AI604"/>
      <c r="AJ604"/>
    </row>
    <row r="605" spans="1:60">
      <c r="D605"/>
      <c r="E605"/>
      <c r="F605"/>
      <c r="G605"/>
      <c r="H605"/>
      <c r="I605"/>
      <c r="J605" s="1717" t="s">
        <v>35</v>
      </c>
      <c r="K605" s="1718"/>
      <c r="L605" s="1718"/>
      <c r="M605" s="1718"/>
      <c r="N605" s="1719"/>
      <c r="O605" s="1646">
        <f>Application!CH613</f>
        <v>0</v>
      </c>
      <c r="P605" s="1647"/>
      <c r="Q605" s="1647"/>
      <c r="R605" s="1647"/>
      <c r="S605" s="1648"/>
      <c r="T605" s="1646">
        <f>Application!DM614</f>
        <v>0</v>
      </c>
      <c r="U605" s="1647"/>
      <c r="V605" s="1647"/>
      <c r="W605" s="1647"/>
      <c r="X605" s="1648"/>
      <c r="Y605" s="1720">
        <f t="shared" si="8"/>
        <v>0</v>
      </c>
      <c r="Z605" s="1721"/>
      <c r="AA605" s="1721"/>
      <c r="AB605" s="1721"/>
      <c r="AC605" s="1722"/>
      <c r="AD605"/>
      <c r="AF605"/>
      <c r="AG605"/>
      <c r="AH605"/>
      <c r="AI605"/>
      <c r="AJ605"/>
      <c r="AO605" s="4"/>
    </row>
    <row r="606" spans="1:60">
      <c r="D606"/>
      <c r="E606"/>
      <c r="F606"/>
      <c r="G606"/>
      <c r="H606"/>
      <c r="I606"/>
      <c r="J606" s="1717" t="s">
        <v>279</v>
      </c>
      <c r="K606" s="1718"/>
      <c r="L606" s="1718"/>
      <c r="M606" s="1718"/>
      <c r="N606" s="1719"/>
      <c r="O606" s="1646">
        <f>Application!CC613</f>
        <v>0</v>
      </c>
      <c r="P606" s="1647"/>
      <c r="Q606" s="1647"/>
      <c r="R606" s="1647"/>
      <c r="S606" s="1648"/>
      <c r="T606" s="1646">
        <f>Application!DH614</f>
        <v>0</v>
      </c>
      <c r="U606" s="1647"/>
      <c r="V606" s="1647"/>
      <c r="W606" s="1647"/>
      <c r="X606" s="1648"/>
      <c r="Y606" s="1720">
        <f t="shared" si="8"/>
        <v>0</v>
      </c>
      <c r="Z606" s="1721"/>
      <c r="AA606" s="1721"/>
      <c r="AB606" s="1721"/>
      <c r="AC606" s="1722"/>
      <c r="AD606"/>
      <c r="AF606"/>
      <c r="AG606"/>
      <c r="AH606"/>
      <c r="AI606"/>
      <c r="AJ606"/>
    </row>
    <row r="607" spans="1:60">
      <c r="D607"/>
      <c r="E607"/>
      <c r="F607"/>
      <c r="G607"/>
      <c r="H607"/>
      <c r="I607"/>
      <c r="J607" s="1717" t="s">
        <v>278</v>
      </c>
      <c r="K607" s="1718"/>
      <c r="L607" s="1718"/>
      <c r="M607" s="1718"/>
      <c r="N607" s="1719"/>
      <c r="O607" s="1646">
        <f>Application!BX613</f>
        <v>0</v>
      </c>
      <c r="P607" s="1647"/>
      <c r="Q607" s="1647"/>
      <c r="R607" s="1647"/>
      <c r="S607" s="1648"/>
      <c r="T607" s="1646">
        <f>Application!DC614</f>
        <v>0</v>
      </c>
      <c r="U607" s="1647"/>
      <c r="V607" s="1647"/>
      <c r="W607" s="1647"/>
      <c r="X607" s="1648"/>
      <c r="Y607" s="1720">
        <f t="shared" si="8"/>
        <v>0</v>
      </c>
      <c r="Z607" s="1721"/>
      <c r="AA607" s="1721"/>
      <c r="AB607" s="1721"/>
      <c r="AC607" s="1722"/>
      <c r="AD607"/>
      <c r="AF607"/>
      <c r="AG607"/>
      <c r="AH607"/>
      <c r="AI607"/>
      <c r="AJ607"/>
    </row>
    <row r="608" spans="1:60">
      <c r="D608"/>
      <c r="E608"/>
      <c r="F608"/>
      <c r="G608"/>
      <c r="H608"/>
      <c r="I608"/>
      <c r="J608" s="1717" t="s">
        <v>277</v>
      </c>
      <c r="K608" s="1718"/>
      <c r="L608" s="1718"/>
      <c r="M608" s="1718"/>
      <c r="N608" s="1719"/>
      <c r="O608" s="1646">
        <f>Application!BS613</f>
        <v>58</v>
      </c>
      <c r="P608" s="1647"/>
      <c r="Q608" s="1647"/>
      <c r="R608" s="1647"/>
      <c r="S608" s="1648"/>
      <c r="T608" s="1646">
        <f>Application!CX614</f>
        <v>14</v>
      </c>
      <c r="U608" s="1647"/>
      <c r="V608" s="1647"/>
      <c r="W608" s="1647"/>
      <c r="X608" s="1648"/>
      <c r="Y608" s="1720">
        <f t="shared" si="8"/>
        <v>0.2413793103448276</v>
      </c>
      <c r="Z608" s="1721"/>
      <c r="AA608" s="1721"/>
      <c r="AB608" s="1721"/>
      <c r="AC608" s="1722"/>
      <c r="AD608"/>
      <c r="AF608"/>
      <c r="AG608"/>
      <c r="AH608"/>
      <c r="AI608"/>
      <c r="AJ608"/>
    </row>
    <row r="609" spans="1:60">
      <c r="D609"/>
      <c r="E609"/>
      <c r="F609"/>
      <c r="G609"/>
      <c r="H609"/>
      <c r="I609"/>
      <c r="J609" s="1717" t="s">
        <v>649</v>
      </c>
      <c r="K609" s="1718"/>
      <c r="L609" s="1718"/>
      <c r="M609" s="1718"/>
      <c r="N609" s="1719"/>
      <c r="O609" s="1646">
        <f>Application!BN613</f>
        <v>0</v>
      </c>
      <c r="P609" s="1647"/>
      <c r="Q609" s="1647"/>
      <c r="R609" s="1647"/>
      <c r="S609" s="1648"/>
      <c r="T609" s="1646">
        <f>Application!CS614</f>
        <v>0</v>
      </c>
      <c r="U609" s="1647"/>
      <c r="V609" s="1647"/>
      <c r="W609" s="1647"/>
      <c r="X609" s="1648"/>
      <c r="Y609" s="1720">
        <f t="shared" si="8"/>
        <v>0</v>
      </c>
      <c r="Z609" s="1721"/>
      <c r="AA609" s="1721"/>
      <c r="AB609" s="1721"/>
      <c r="AC609" s="1722"/>
      <c r="AD609"/>
      <c r="AF609"/>
      <c r="AG609"/>
      <c r="AH609"/>
      <c r="AI609"/>
      <c r="AJ609"/>
    </row>
    <row r="610" spans="1:60">
      <c r="D610"/>
      <c r="E610"/>
      <c r="F610"/>
      <c r="G610"/>
      <c r="H610"/>
      <c r="I610"/>
      <c r="J610" s="1553" t="s">
        <v>915</v>
      </c>
      <c r="K610" s="1554"/>
      <c r="L610" s="1554"/>
      <c r="M610" s="1554"/>
      <c r="N610" s="1555"/>
      <c r="O610" s="1804">
        <f>SUM(O604:S609)</f>
        <v>58</v>
      </c>
      <c r="P610" s="1805"/>
      <c r="Q610" s="1805"/>
      <c r="R610" s="1805"/>
      <c r="S610" s="1806"/>
      <c r="T610" s="1804">
        <f>SUM(T604:X609)</f>
        <v>14</v>
      </c>
      <c r="U610" s="1805"/>
      <c r="V610" s="1805"/>
      <c r="W610" s="1805"/>
      <c r="X610" s="1806"/>
      <c r="Y610" s="1794" t="s">
        <v>246</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1575</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4">
        <v>2</v>
      </c>
      <c r="AK613" s="182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3" t="s">
        <v>191</v>
      </c>
      <c r="B615" s="1803"/>
      <c r="C615" s="1803"/>
      <c r="D615" s="1803"/>
      <c r="E615" s="1803"/>
      <c r="F615" s="1803"/>
      <c r="G615" s="1803"/>
      <c r="H615" s="1803"/>
      <c r="I615" s="1803"/>
      <c r="J615" s="1803"/>
      <c r="K615" s="1803"/>
      <c r="L615" s="1803"/>
      <c r="M615" s="1803"/>
      <c r="N615" s="1803"/>
      <c r="O615" s="1803"/>
      <c r="P615" s="1803"/>
      <c r="Q615" s="1803"/>
      <c r="R615" s="1803"/>
      <c r="S615" s="1803"/>
      <c r="T615" s="1803"/>
      <c r="U615" s="1803"/>
      <c r="V615" s="1803"/>
      <c r="W615" s="1803"/>
      <c r="X615" s="1803"/>
      <c r="Y615" s="1803"/>
      <c r="Z615" s="1803"/>
      <c r="AA615" s="1803"/>
      <c r="AB615" s="1803"/>
      <c r="AC615" s="1803"/>
      <c r="AD615" s="1803"/>
      <c r="AE615" s="1803"/>
      <c r="AF615" s="1803"/>
      <c r="AG615" s="1803"/>
      <c r="AH615" s="1803"/>
      <c r="AI615" s="1803"/>
      <c r="AJ615" s="1803"/>
      <c r="AK615" s="1238">
        <f>IF($AC$589=0,0,$AC$589+$AJ$613)</f>
        <v>63.3</v>
      </c>
      <c r="AL615" s="1239"/>
      <c r="AM615" s="124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7" t="s">
        <v>1576</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09" t="s">
        <v>116</v>
      </c>
      <c r="D623" s="1109"/>
      <c r="E623" s="185"/>
      <c r="F623" s="1633" t="s">
        <v>2351</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7" t="s">
        <v>980</v>
      </c>
      <c r="AH623" s="1007"/>
      <c r="AI623" s="1007"/>
      <c r="AJ623" s="1007"/>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7" t="s">
        <v>2356</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1" customFormat="1" ht="12.4"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5"/>
      <c r="BD638" s="653"/>
      <c r="BE638" s="653"/>
      <c r="BF638" s="653"/>
      <c r="BG638" s="653"/>
      <c r="BH638" s="653"/>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09" t="s">
        <v>132</v>
      </c>
      <c r="D646" s="1109"/>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2</v>
      </c>
    </row>
    <row r="651" spans="1:49">
      <c r="A651" s="4"/>
      <c r="B651" s="19"/>
      <c r="C651" s="1109" t="s">
        <v>132</v>
      </c>
      <c r="D651" s="1109"/>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09" t="s">
        <v>132</v>
      </c>
      <c r="D655" s="1109"/>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132</v>
      </c>
      <c r="D659" s="1109"/>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09" t="s">
        <v>132</v>
      </c>
      <c r="D661" s="1109"/>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09" t="s">
        <v>132</v>
      </c>
      <c r="D666" s="1109"/>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09" t="s">
        <v>116</v>
      </c>
      <c r="D669" s="1109"/>
      <c r="E669" s="185" t="s">
        <v>295</v>
      </c>
      <c r="F669" s="1667" t="s">
        <v>2335</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8">
        <f>$AO$651</f>
        <v>2</v>
      </c>
      <c r="AL684" s="1239"/>
      <c r="AM684" s="124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5" t="s">
        <v>756</v>
      </c>
      <c r="B687" s="1815"/>
      <c r="C687" s="1815"/>
      <c r="D687" s="1815"/>
      <c r="E687" s="1815"/>
      <c r="F687" s="1815"/>
      <c r="G687" s="1815"/>
      <c r="H687" s="1815"/>
      <c r="I687" s="1815"/>
      <c r="J687" s="1815"/>
      <c r="K687" s="1815"/>
      <c r="L687" s="1815"/>
      <c r="M687" s="1815"/>
      <c r="N687" s="1815"/>
      <c r="O687" s="1815"/>
      <c r="P687" s="1815"/>
      <c r="Q687" s="1815"/>
      <c r="R687" s="1815"/>
      <c r="S687" s="1815"/>
      <c r="T687" s="1815"/>
      <c r="U687" s="1815"/>
      <c r="V687" s="1815"/>
      <c r="W687" s="1815"/>
      <c r="X687" s="1815"/>
      <c r="Y687" s="1815"/>
      <c r="Z687" s="1815"/>
      <c r="AA687" s="1815"/>
      <c r="AB687" s="1815"/>
      <c r="AC687" s="1815"/>
      <c r="AD687" s="1815"/>
      <c r="AE687" s="1815"/>
      <c r="AF687" s="1815"/>
      <c r="AG687" s="1815"/>
      <c r="AH687" s="1815"/>
      <c r="AI687" s="1815"/>
      <c r="AJ687" s="1815"/>
      <c r="AK687" s="1815"/>
      <c r="AL687" s="1815"/>
      <c r="AM687" s="1815"/>
      <c r="AO687" s="206"/>
      <c r="AP687" s="206"/>
      <c r="AQ687" s="206"/>
    </row>
    <row r="688" spans="1:60">
      <c r="A688" s="1816"/>
      <c r="B688" s="1816"/>
      <c r="C688" s="1816"/>
      <c r="D688" s="1816"/>
      <c r="E688" s="1816"/>
      <c r="F688" s="1816"/>
      <c r="G688" s="1816"/>
      <c r="H688" s="1816"/>
      <c r="I688" s="1816"/>
      <c r="J688" s="1816"/>
      <c r="K688" s="1816"/>
      <c r="L688" s="1816"/>
      <c r="M688" s="1816"/>
      <c r="N688" s="1816"/>
      <c r="O688" s="1816"/>
      <c r="P688" s="1816"/>
      <c r="Q688" s="1816"/>
      <c r="R688" s="1816"/>
      <c r="S688" s="1816"/>
      <c r="T688" s="1816"/>
      <c r="U688" s="1816"/>
      <c r="V688" s="1816"/>
      <c r="W688" s="1816"/>
      <c r="X688" s="1816"/>
      <c r="Y688" s="1816"/>
      <c r="Z688" s="1816"/>
      <c r="AA688" s="1816"/>
      <c r="AB688" s="1816"/>
      <c r="AC688" s="1816"/>
      <c r="AD688" s="1816"/>
      <c r="AE688" s="1816"/>
      <c r="AF688" s="1816"/>
      <c r="AG688" s="1816"/>
      <c r="AH688" s="1816"/>
      <c r="AI688" s="1816"/>
      <c r="AJ688" s="1816"/>
      <c r="AK688" s="1816"/>
      <c r="AL688" s="1816"/>
      <c r="AM688" s="181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2034</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2035</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69" t="s">
        <v>248</v>
      </c>
      <c r="U692" s="1170"/>
      <c r="V692" s="1170"/>
      <c r="W692" s="1170"/>
      <c r="X692" s="1170"/>
      <c r="Y692" s="1514"/>
      <c r="Z692" s="1169" t="s">
        <v>247</v>
      </c>
      <c r="AA692" s="1170"/>
      <c r="AB692" s="1170"/>
      <c r="AC692" s="1170"/>
      <c r="AD692" s="1170"/>
      <c r="AE692" s="1514"/>
      <c r="AF692" s="1169" t="s">
        <v>249</v>
      </c>
      <c r="AG692" s="1170"/>
      <c r="AH692" s="1170"/>
      <c r="AI692" s="1170"/>
      <c r="AJ692" s="1170"/>
      <c r="AK692" s="151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3"/>
      <c r="U693" s="1174"/>
      <c r="V693" s="1174"/>
      <c r="W693" s="1174"/>
      <c r="X693" s="1174"/>
      <c r="Y693" s="1268"/>
      <c r="Z693" s="1173"/>
      <c r="AA693" s="1174"/>
      <c r="AB693" s="1174"/>
      <c r="AC693" s="1174"/>
      <c r="AD693" s="1174"/>
      <c r="AE693" s="1268"/>
      <c r="AF693" s="1173"/>
      <c r="AG693" s="1174"/>
      <c r="AH693" s="1174"/>
      <c r="AI693" s="1174"/>
      <c r="AJ693" s="1174"/>
      <c r="AK693" s="1268"/>
      <c r="AL693" s="785"/>
      <c r="AM693" s="20"/>
    </row>
    <row r="694" spans="1:43">
      <c r="A694" s="601" t="s">
        <v>687</v>
      </c>
      <c r="B694" s="1711" t="s">
        <v>284</v>
      </c>
      <c r="C694" s="1711"/>
      <c r="D694" s="1711"/>
      <c r="E694" s="1711"/>
      <c r="F694" s="1711"/>
      <c r="G694" s="1711"/>
      <c r="H694" s="1711"/>
      <c r="I694" s="1711"/>
      <c r="J694" s="1711"/>
      <c r="K694" s="1711"/>
      <c r="L694" s="1711"/>
      <c r="M694" s="1711"/>
      <c r="N694" s="1711"/>
      <c r="O694" s="1711"/>
      <c r="P694" s="1711"/>
      <c r="Q694" s="1711"/>
      <c r="R694" s="1711"/>
      <c r="S694" s="1712"/>
      <c r="T694" s="1736">
        <f>SUM(T695:Y696)</f>
        <v>10</v>
      </c>
      <c r="U694" s="1736"/>
      <c r="V694" s="1736"/>
      <c r="W694" s="1736"/>
      <c r="X694" s="1736"/>
      <c r="Y694" s="1736"/>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c r="A695" s="621"/>
      <c r="B695" s="622"/>
      <c r="C695" s="627"/>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40">
        <v>7</v>
      </c>
      <c r="AA695" s="1740"/>
      <c r="AB695" s="1740"/>
      <c r="AC695" s="1740"/>
      <c r="AD695" s="1740"/>
      <c r="AE695" s="1740"/>
      <c r="AF695" s="1817"/>
      <c r="AG695" s="1817"/>
      <c r="AH695" s="1817"/>
      <c r="AI695" s="1817"/>
      <c r="AJ695" s="1817"/>
      <c r="AK695" s="1817"/>
      <c r="AL695" s="785"/>
      <c r="AM695" s="20"/>
    </row>
    <row r="696" spans="1:43">
      <c r="A696" s="623"/>
      <c r="B696" s="622"/>
      <c r="C696" s="622"/>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40">
        <v>3</v>
      </c>
      <c r="AA696" s="1740"/>
      <c r="AB696" s="1740"/>
      <c r="AC696" s="1740"/>
      <c r="AD696" s="1740"/>
      <c r="AE696" s="1740"/>
      <c r="AF696" s="1817"/>
      <c r="AG696" s="1817"/>
      <c r="AH696" s="1817"/>
      <c r="AI696" s="1817"/>
      <c r="AJ696" s="1817"/>
      <c r="AK696" s="1817"/>
      <c r="AL696" s="785"/>
      <c r="AM696" s="20"/>
    </row>
    <row r="697" spans="1:43">
      <c r="A697" s="601"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6">
        <f>AK68</f>
        <v>10</v>
      </c>
      <c r="U697" s="1736"/>
      <c r="V697" s="1736"/>
      <c r="W697" s="1736"/>
      <c r="X697" s="1736"/>
      <c r="Y697" s="1736"/>
      <c r="Z697" s="1223">
        <v>10</v>
      </c>
      <c r="AA697" s="1223"/>
      <c r="AB697" s="1223"/>
      <c r="AC697" s="1223"/>
      <c r="AD697" s="1223"/>
      <c r="AE697" s="1223"/>
      <c r="AF697" s="1223">
        <f>IF(T697&gt;Z697,Z697,T697)</f>
        <v>10</v>
      </c>
      <c r="AG697" s="1223"/>
      <c r="AH697" s="1223"/>
      <c r="AI697" s="1223"/>
      <c r="AJ697" s="1223"/>
      <c r="AK697" s="1223"/>
      <c r="AL697" s="785"/>
      <c r="AM697" s="20"/>
    </row>
    <row r="698" spans="1:43">
      <c r="A698" s="601"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6">
        <f>AO689</f>
        <v>25</v>
      </c>
      <c r="U698" s="1736">
        <f>IF(AND(AND(A699&gt;15,15+A700),A700&gt;10,A699+10),A698,0)</f>
        <v>0</v>
      </c>
      <c r="V698" s="1736">
        <f>IF(AND(AND(B699&gt;15,15+B700),B700&gt;10,B699+10),#REF!,0)</f>
        <v>0</v>
      </c>
      <c r="W698" s="1736">
        <f>IF(AND(AND(C699&gt;15,15+C700),C700&gt;10,C699+10),B698,0)</f>
        <v>0</v>
      </c>
      <c r="X698" s="1736" t="e">
        <f>IF(AND(AND(D699&gt;15,15+D700),D700&gt;10,D699+10),D698,0)</f>
        <v>#VALUE!</v>
      </c>
      <c r="Y698" s="1736"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c r="A699" s="601"/>
      <c r="B699" s="622"/>
      <c r="C699" s="622"/>
      <c r="D699" s="307" t="s">
        <v>1533</v>
      </c>
      <c r="E699" s="1713" t="s">
        <v>309</v>
      </c>
      <c r="F699" s="1713"/>
      <c r="G699" s="1713"/>
      <c r="H699" s="1713"/>
      <c r="I699" s="1713"/>
      <c r="J699" s="1713"/>
      <c r="K699" s="1713"/>
      <c r="L699" s="1713"/>
      <c r="M699" s="1713"/>
      <c r="N699" s="1713"/>
      <c r="O699" s="1713"/>
      <c r="P699" s="1713"/>
      <c r="Q699" s="1713"/>
      <c r="R699" s="1713"/>
      <c r="S699" s="1714"/>
      <c r="T699" s="1715">
        <f>AK280</f>
        <v>16</v>
      </c>
      <c r="U699" s="1715"/>
      <c r="V699" s="1715"/>
      <c r="W699" s="1715"/>
      <c r="X699" s="1715"/>
      <c r="Y699" s="1715"/>
      <c r="Z699" s="1740">
        <v>15</v>
      </c>
      <c r="AA699" s="1740"/>
      <c r="AB699" s="1740"/>
      <c r="AC699" s="1740"/>
      <c r="AD699" s="1740"/>
      <c r="AE699" s="1740"/>
      <c r="AF699" s="1817"/>
      <c r="AG699" s="1817"/>
      <c r="AH699" s="1817"/>
      <c r="AI699" s="1817"/>
      <c r="AJ699" s="1817"/>
      <c r="AK699" s="1817"/>
      <c r="AL699" s="785"/>
      <c r="AM699" s="20"/>
    </row>
    <row r="700" spans="1:43">
      <c r="A700" s="624"/>
      <c r="B700" s="90"/>
      <c r="C700" s="90"/>
      <c r="D700" s="625" t="s">
        <v>1534</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40">
        <v>10</v>
      </c>
      <c r="AA700" s="1740"/>
      <c r="AB700" s="1740"/>
      <c r="AC700" s="1740"/>
      <c r="AD700" s="1740"/>
      <c r="AE700" s="1740"/>
      <c r="AF700" s="1817"/>
      <c r="AG700" s="1817"/>
      <c r="AH700" s="1817"/>
      <c r="AI700" s="1817"/>
      <c r="AJ700" s="1817"/>
      <c r="AK700" s="1817"/>
      <c r="AL700" s="785"/>
      <c r="AM700" s="20"/>
    </row>
    <row r="701" spans="1:43" hidden="1">
      <c r="A701" s="601"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6"/>
      <c r="U701" s="1736"/>
      <c r="V701" s="1736"/>
      <c r="W701" s="1736"/>
      <c r="X701" s="1736"/>
      <c r="Y701" s="1736"/>
      <c r="Z701" s="1223"/>
      <c r="AA701" s="1223"/>
      <c r="AB701" s="1223"/>
      <c r="AC701" s="1223"/>
      <c r="AD701" s="1223"/>
      <c r="AE701" s="1223"/>
      <c r="AF701" s="1223"/>
      <c r="AG701" s="1223"/>
      <c r="AH701" s="1223"/>
      <c r="AI701" s="1223"/>
      <c r="AJ701" s="1223"/>
      <c r="AK701" s="1223"/>
      <c r="AL701" s="785"/>
      <c r="AM701" s="20"/>
    </row>
    <row r="702" spans="1:43">
      <c r="A702" s="601"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7">
        <f>IF(SUM(T703:Y704)&gt;52,52,SUM(T703:Y704))</f>
        <v>52</v>
      </c>
      <c r="U702" s="1808"/>
      <c r="V702" s="1808"/>
      <c r="W702" s="1808"/>
      <c r="X702" s="1808"/>
      <c r="Y702" s="1808"/>
      <c r="Z702" s="1808">
        <v>52</v>
      </c>
      <c r="AA702" s="1808"/>
      <c r="AB702" s="1808"/>
      <c r="AC702" s="1808"/>
      <c r="AD702" s="1808"/>
      <c r="AE702" s="1808"/>
      <c r="AF702" s="1808">
        <f>$AO$694+$T$704</f>
        <v>52</v>
      </c>
      <c r="AG702" s="1808"/>
      <c r="AH702" s="1808"/>
      <c r="AI702" s="1808"/>
      <c r="AJ702" s="1808"/>
      <c r="AK702" s="1808"/>
      <c r="AL702" s="785"/>
      <c r="AM702" s="20"/>
    </row>
    <row r="703" spans="1:43">
      <c r="A703" s="626"/>
      <c r="B703" s="628"/>
      <c r="C703" s="628"/>
      <c r="D703" s="629" t="s">
        <v>2347</v>
      </c>
      <c r="E703" s="1713" t="s">
        <v>194</v>
      </c>
      <c r="F703" s="1713"/>
      <c r="G703" s="1713"/>
      <c r="H703" s="1713"/>
      <c r="I703" s="1713"/>
      <c r="J703" s="1713"/>
      <c r="K703" s="1713"/>
      <c r="L703" s="1713"/>
      <c r="M703" s="1713"/>
      <c r="N703" s="1713"/>
      <c r="O703" s="1713"/>
      <c r="P703" s="1713"/>
      <c r="Q703" s="1713"/>
      <c r="R703" s="1713"/>
      <c r="S703" s="1714"/>
      <c r="T703" s="1737">
        <f>AC589</f>
        <v>61.3</v>
      </c>
      <c r="U703" s="1738"/>
      <c r="V703" s="1738"/>
      <c r="W703" s="1738"/>
      <c r="X703" s="1738"/>
      <c r="Y703" s="1739"/>
      <c r="Z703" s="1737">
        <v>50</v>
      </c>
      <c r="AA703" s="1738"/>
      <c r="AB703" s="1738"/>
      <c r="AC703" s="1738"/>
      <c r="AD703" s="1738"/>
      <c r="AE703" s="1739"/>
      <c r="AF703" s="1812"/>
      <c r="AG703" s="1813"/>
      <c r="AH703" s="1813"/>
      <c r="AI703" s="1813"/>
      <c r="AJ703" s="1813"/>
      <c r="AK703" s="1814"/>
      <c r="AL703" s="785"/>
      <c r="AM703" s="4"/>
    </row>
    <row r="704" spans="1:43">
      <c r="A704" s="630"/>
      <c r="B704" s="622"/>
      <c r="C704" s="622"/>
      <c r="D704" s="307" t="s">
        <v>2348</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38">
        <v>2</v>
      </c>
      <c r="AA704" s="1239"/>
      <c r="AB704" s="1239"/>
      <c r="AC704" s="1239"/>
      <c r="AD704" s="1239"/>
      <c r="AE704" s="1241"/>
      <c r="AF704" s="1828"/>
      <c r="AG704" s="1829"/>
      <c r="AH704" s="1829"/>
      <c r="AI704" s="1829"/>
      <c r="AJ704" s="1829"/>
      <c r="AK704" s="1830"/>
      <c r="AL704" s="785"/>
      <c r="AM704" s="4"/>
    </row>
    <row r="705" spans="1:39">
      <c r="A705" s="626"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6">
        <f>AK641</f>
        <v>10</v>
      </c>
      <c r="U705" s="1736"/>
      <c r="V705" s="1736"/>
      <c r="W705" s="1736"/>
      <c r="X705" s="1736"/>
      <c r="Y705" s="1736"/>
      <c r="Z705" s="1223">
        <v>10</v>
      </c>
      <c r="AA705" s="1223"/>
      <c r="AB705" s="1223"/>
      <c r="AC705" s="1223"/>
      <c r="AD705" s="1223"/>
      <c r="AE705" s="1223"/>
      <c r="AF705" s="1386">
        <f>IF(T705&gt;Z705,Z705,T705)</f>
        <v>10</v>
      </c>
      <c r="AG705" s="1387"/>
      <c r="AH705" s="1387"/>
      <c r="AI705" s="1387"/>
      <c r="AJ705" s="1387"/>
      <c r="AK705" s="1388"/>
      <c r="AL705" s="785"/>
      <c r="AM705" s="20"/>
    </row>
    <row r="706" spans="1:39">
      <c r="A706" s="626" t="s">
        <v>133</v>
      </c>
      <c r="B706" s="1711" t="s">
        <v>1027</v>
      </c>
      <c r="C706" s="1711"/>
      <c r="D706" s="1711"/>
      <c r="E706" s="1711"/>
      <c r="F706" s="1711"/>
      <c r="G706" s="1711"/>
      <c r="H706" s="1711"/>
      <c r="I706" s="1711"/>
      <c r="J706" s="1711"/>
      <c r="K706" s="1711"/>
      <c r="L706" s="1711"/>
      <c r="M706" s="1711"/>
      <c r="N706" s="1711"/>
      <c r="O706" s="1711"/>
      <c r="P706" s="1711"/>
      <c r="Q706" s="1711"/>
      <c r="R706" s="1711"/>
      <c r="S706" s="1712"/>
      <c r="T706" s="1809">
        <f>IF(AK684&gt;2,2,AK684)</f>
        <v>2</v>
      </c>
      <c r="U706" s="1810"/>
      <c r="V706" s="1810"/>
      <c r="W706" s="1810"/>
      <c r="X706" s="1810"/>
      <c r="Y706" s="1811"/>
      <c r="Z706" s="1386">
        <v>2</v>
      </c>
      <c r="AA706" s="1387"/>
      <c r="AB706" s="1387"/>
      <c r="AC706" s="1387"/>
      <c r="AD706" s="1387"/>
      <c r="AE706" s="1388"/>
      <c r="AF706" s="1386">
        <f>IF(T706&gt;Z706,Z706,T706)</f>
        <v>2</v>
      </c>
      <c r="AG706" s="1826"/>
      <c r="AH706" s="1826"/>
      <c r="AI706" s="1826"/>
      <c r="AJ706" s="1826"/>
      <c r="AK706" s="1827"/>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20"/>
      <c r="U707" s="1420"/>
      <c r="V707" s="1420"/>
      <c r="W707" s="1420"/>
      <c r="X707" s="1420"/>
      <c r="Y707" s="1420"/>
      <c r="Z707" s="1740" t="s">
        <v>311</v>
      </c>
      <c r="AA707" s="1740"/>
      <c r="AB707" s="1740"/>
      <c r="AC707" s="1740"/>
      <c r="AD707" s="1740"/>
      <c r="AE707" s="1740"/>
      <c r="AF707" s="1386">
        <f>IF(T707&gt;0,T707,0)</f>
        <v>0</v>
      </c>
      <c r="AG707" s="1387"/>
      <c r="AH707" s="1387"/>
      <c r="AI707" s="1387"/>
      <c r="AJ707" s="1387"/>
      <c r="AK707" s="1388"/>
      <c r="AL707" s="18"/>
      <c r="AM707" s="20"/>
    </row>
    <row r="708" spans="1:39" ht="15.75">
      <c r="A708" s="1723" t="s">
        <v>755</v>
      </c>
      <c r="B708" s="1724"/>
      <c r="C708" s="1724"/>
      <c r="D708" s="1724"/>
      <c r="E708" s="1724"/>
      <c r="F708" s="1724"/>
      <c r="G708" s="1724"/>
      <c r="H708" s="1724"/>
      <c r="I708" s="1724"/>
      <c r="J708" s="1724"/>
      <c r="K708" s="1724"/>
      <c r="L708" s="1724"/>
      <c r="M708" s="1724"/>
      <c r="N708" s="1724"/>
      <c r="O708" s="1724"/>
      <c r="P708" s="1724"/>
      <c r="Q708" s="1724"/>
      <c r="R708" s="1724"/>
      <c r="S708" s="1724"/>
      <c r="T708" s="1724"/>
      <c r="U708" s="1724"/>
      <c r="V708" s="1724"/>
      <c r="W708" s="1724"/>
      <c r="X708" s="1724"/>
      <c r="Y708" s="1724"/>
      <c r="Z708" s="1724"/>
      <c r="AA708" s="1724"/>
      <c r="AB708" s="1724"/>
      <c r="AC708" s="1724"/>
      <c r="AD708" s="1724"/>
      <c r="AE708" s="1725"/>
      <c r="AF708" s="1818">
        <f>SUM(AF694:AK706)-AF707</f>
        <v>109</v>
      </c>
      <c r="AG708" s="1819"/>
      <c r="AH708" s="1819"/>
      <c r="AI708" s="1819"/>
      <c r="AJ708" s="1819"/>
      <c r="AK708" s="1820"/>
      <c r="AL708" s="786"/>
      <c r="AM708" s="4"/>
    </row>
    <row r="709" spans="1:39" ht="12.4" customHeight="1">
      <c r="A709" s="1726"/>
      <c r="B709" s="1727"/>
      <c r="C709" s="1727"/>
      <c r="D709" s="1727"/>
      <c r="E709" s="1727"/>
      <c r="F709" s="1727"/>
      <c r="G709" s="1727"/>
      <c r="H709" s="1727"/>
      <c r="I709" s="1727"/>
      <c r="J709" s="1727"/>
      <c r="K709" s="1727"/>
      <c r="L709" s="1727"/>
      <c r="M709" s="1727"/>
      <c r="N709" s="1727"/>
      <c r="O709" s="1727"/>
      <c r="P709" s="1727"/>
      <c r="Q709" s="1727"/>
      <c r="R709" s="1727"/>
      <c r="S709" s="1727"/>
      <c r="T709" s="1727"/>
      <c r="U709" s="1727"/>
      <c r="V709" s="1727"/>
      <c r="W709" s="1727"/>
      <c r="X709" s="1727"/>
      <c r="Y709" s="1727"/>
      <c r="Z709" s="1727"/>
      <c r="AA709" s="1727"/>
      <c r="AB709" s="1727"/>
      <c r="AC709" s="1727"/>
      <c r="AD709" s="1727"/>
      <c r="AE709" s="1728"/>
      <c r="AF709" s="1821"/>
      <c r="AG709" s="1822"/>
      <c r="AH709" s="1822"/>
      <c r="AI709" s="1822"/>
      <c r="AJ709" s="1822"/>
      <c r="AK709" s="1823"/>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4"/>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4"/>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4"/>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4"/>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4"/>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5" t="s">
        <v>2131</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05"/>
      <c r="B3" s="905"/>
      <c r="I3" s="906"/>
      <c r="K3" s="907"/>
    </row>
    <row r="4" spans="1:57" ht="14.25" customHeight="1">
      <c r="A4" s="1884" t="s">
        <v>2132</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row>
    <row r="5" spans="1:57">
      <c r="A5" s="905"/>
      <c r="B5" s="905"/>
      <c r="I5" s="906"/>
      <c r="K5" s="907"/>
    </row>
    <row r="6" spans="1:57">
      <c r="A6" s="905"/>
      <c r="B6" s="905"/>
      <c r="D6" s="903" t="s">
        <v>2135</v>
      </c>
      <c r="I6" s="906"/>
      <c r="K6" s="907"/>
      <c r="U6" s="1883"/>
      <c r="V6" s="1883"/>
      <c r="W6" s="1883"/>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91"/>
      <c r="Q9" s="1891"/>
      <c r="R9" s="1891"/>
      <c r="S9" s="1891"/>
      <c r="T9" s="1891"/>
    </row>
    <row r="10" spans="1:57">
      <c r="A10" s="905"/>
      <c r="B10" s="905"/>
      <c r="I10" s="906"/>
      <c r="K10" s="907"/>
    </row>
    <row r="11" spans="1:57">
      <c r="A11" s="1884" t="s">
        <v>2138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c r="AH11" s="1884"/>
      <c r="AI11" s="1884"/>
      <c r="AJ11" s="1884"/>
      <c r="AK11" s="1884"/>
      <c r="AL11" s="1884"/>
      <c r="AM11" s="1884"/>
      <c r="AN11" s="1884"/>
      <c r="AO11" s="1884"/>
      <c r="AP11" s="1884"/>
      <c r="AQ11" s="1884"/>
      <c r="BC11" s="903" t="s">
        <v>116</v>
      </c>
    </row>
    <row r="12" spans="1:57">
      <c r="A12" s="905"/>
      <c r="B12" s="905"/>
      <c r="I12" s="906"/>
      <c r="K12" s="907"/>
      <c r="BC12" s="903" t="s">
        <v>510</v>
      </c>
    </row>
    <row r="13" spans="1:57">
      <c r="A13" s="905"/>
      <c r="B13" s="905"/>
      <c r="D13" s="903" t="s">
        <v>2139</v>
      </c>
      <c r="I13" s="906"/>
      <c r="K13" s="907"/>
      <c r="T13" s="1883"/>
      <c r="U13" s="1883"/>
      <c r="V13" s="1883"/>
    </row>
    <row r="14" spans="1:57">
      <c r="A14" s="905"/>
      <c r="B14" s="905"/>
      <c r="E14" s="903" t="s">
        <v>2146</v>
      </c>
      <c r="I14" s="906"/>
      <c r="K14" s="907"/>
      <c r="N14" s="1889"/>
      <c r="O14" s="1889"/>
      <c r="P14" s="1889"/>
      <c r="Q14" s="1889"/>
      <c r="R14" s="1889"/>
      <c r="S14" s="1889"/>
      <c r="T14" s="1889"/>
      <c r="U14" s="1889"/>
      <c r="V14" s="1889"/>
      <c r="W14" s="1889"/>
      <c r="X14" s="1889"/>
      <c r="Y14" s="1889"/>
      <c r="Z14" s="1889"/>
      <c r="AA14" s="1889"/>
      <c r="AB14" s="1889"/>
      <c r="AC14" s="1889"/>
      <c r="AD14" s="1889"/>
      <c r="AE14" s="1889"/>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33422765.945645884</v>
      </c>
    </row>
    <row r="17" spans="1:43">
      <c r="A17" s="905"/>
      <c r="B17" s="905"/>
      <c r="D17" s="903" t="s">
        <v>2141</v>
      </c>
      <c r="I17" s="906"/>
      <c r="K17" s="907"/>
      <c r="U17" s="1890" t="str">
        <f>IF(T13="yes",(BE15/BE16)," ")</f>
        <v xml:space="preserve"> </v>
      </c>
      <c r="V17" s="1890"/>
      <c r="W17" s="1890"/>
      <c r="X17" s="1890"/>
      <c r="Y17" s="1890"/>
    </row>
    <row r="18" spans="1:43">
      <c r="A18" s="905"/>
      <c r="B18" s="905"/>
      <c r="I18" s="906"/>
      <c r="K18" s="907"/>
    </row>
    <row r="19" spans="1:43">
      <c r="A19" s="1884" t="s">
        <v>2143</v>
      </c>
      <c r="B19" s="1884"/>
      <c r="C19" s="1884"/>
      <c r="D19" s="1884"/>
      <c r="E19" s="1884"/>
      <c r="F19" s="1884"/>
      <c r="G19" s="1884"/>
      <c r="H19" s="1884"/>
      <c r="I19" s="1884"/>
      <c r="J19" s="1884"/>
      <c r="K19" s="1884"/>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c r="AH19" s="1884"/>
      <c r="AI19" s="1884"/>
      <c r="AJ19" s="1884"/>
      <c r="AK19" s="1884"/>
      <c r="AL19" s="1884"/>
      <c r="AM19" s="1884"/>
      <c r="AN19" s="1884"/>
      <c r="AO19" s="1884"/>
      <c r="AP19" s="1884"/>
      <c r="AQ19" s="1884"/>
    </row>
    <row r="20" spans="1:43">
      <c r="C20" s="905"/>
      <c r="D20" s="905"/>
      <c r="K20" s="906"/>
      <c r="M20" s="907"/>
    </row>
    <row r="21" spans="1:43">
      <c r="C21" s="905"/>
      <c r="D21" s="905"/>
      <c r="K21" s="906"/>
      <c r="M21" s="907"/>
    </row>
    <row r="22" spans="1:43">
      <c r="C22" s="908" t="s">
        <v>762</v>
      </c>
      <c r="D22" s="908"/>
      <c r="E22" s="903" t="s">
        <v>2144</v>
      </c>
      <c r="H22" s="909"/>
      <c r="K22" s="903"/>
      <c r="Q22" s="1892">
        <f>ROUND('Basis &amp; Credits'!AB55,0)</f>
        <v>2500000</v>
      </c>
      <c r="R22" s="1892"/>
      <c r="S22" s="1892"/>
      <c r="T22" s="1892"/>
      <c r="U22" s="1892"/>
      <c r="V22" s="1892"/>
      <c r="W22" s="1892"/>
      <c r="X22" s="1892"/>
      <c r="Y22" s="923"/>
    </row>
    <row r="23" spans="1:43">
      <c r="C23" s="905"/>
      <c r="D23" s="905"/>
      <c r="G23" s="910"/>
      <c r="H23" s="910"/>
      <c r="I23" s="911"/>
      <c r="J23" s="911"/>
      <c r="K23" s="910"/>
      <c r="M23" s="904"/>
    </row>
    <row r="24" spans="1:43">
      <c r="C24" s="912"/>
      <c r="D24" s="912"/>
      <c r="E24" s="913"/>
      <c r="J24" s="911"/>
      <c r="K24" s="903"/>
      <c r="L24" s="1895" t="s">
        <v>2121</v>
      </c>
      <c r="M24" s="1895"/>
      <c r="N24" s="1895"/>
      <c r="P24" s="1880" t="s">
        <v>2122</v>
      </c>
      <c r="Q24" s="1880"/>
      <c r="R24" s="1880"/>
      <c r="S24" s="1880"/>
      <c r="T24" s="1880"/>
      <c r="V24" s="1880" t="s">
        <v>2123</v>
      </c>
      <c r="W24" s="1880"/>
      <c r="X24" s="1880"/>
    </row>
    <row r="25" spans="1:43">
      <c r="C25" s="908" t="s">
        <v>201</v>
      </c>
      <c r="D25" s="908"/>
      <c r="E25" s="903" t="s">
        <v>1028</v>
      </c>
      <c r="J25" s="911"/>
      <c r="L25" s="1881" t="s">
        <v>2124</v>
      </c>
      <c r="M25" s="1881"/>
      <c r="N25" s="1881"/>
      <c r="P25" s="1881" t="s">
        <v>2125</v>
      </c>
      <c r="Q25" s="1881"/>
      <c r="R25" s="1881"/>
      <c r="S25" s="1881"/>
      <c r="T25" s="1881"/>
      <c r="V25" s="1881" t="s">
        <v>2124</v>
      </c>
      <c r="W25" s="1881"/>
      <c r="X25" s="1881"/>
    </row>
    <row r="26" spans="1:43">
      <c r="C26" s="905"/>
      <c r="D26" s="905"/>
      <c r="E26" s="914" t="s">
        <v>2126</v>
      </c>
      <c r="F26" s="914"/>
      <c r="J26" s="915"/>
      <c r="L26" s="1893">
        <f>Application!BN613</f>
        <v>0</v>
      </c>
      <c r="M26" s="1893"/>
      <c r="N26" s="1893"/>
      <c r="P26" s="1882">
        <v>0.9</v>
      </c>
      <c r="Q26" s="1882"/>
      <c r="R26" s="1882"/>
      <c r="S26" s="1882"/>
      <c r="T26" s="1882"/>
      <c r="V26" s="1882">
        <f>L26*P26</f>
        <v>0</v>
      </c>
      <c r="W26" s="1882"/>
      <c r="X26" s="1882"/>
    </row>
    <row r="27" spans="1:43">
      <c r="C27" s="905"/>
      <c r="D27" s="905"/>
      <c r="E27" s="903" t="s">
        <v>2127</v>
      </c>
      <c r="J27" s="915"/>
      <c r="L27" s="1873">
        <f>Application!BS613</f>
        <v>58</v>
      </c>
      <c r="M27" s="1873">
        <f>Application!BS621+Application!BS630+Application!CX644</f>
        <v>0</v>
      </c>
      <c r="N27" s="1873"/>
      <c r="P27" s="1878">
        <v>1</v>
      </c>
      <c r="Q27" s="1878"/>
      <c r="R27" s="1878"/>
      <c r="S27" s="1878"/>
      <c r="T27" s="1878"/>
      <c r="V27" s="1878">
        <f>L27*P27</f>
        <v>58</v>
      </c>
      <c r="W27" s="1878"/>
      <c r="X27" s="1878"/>
    </row>
    <row r="28" spans="1:43">
      <c r="C28" s="905"/>
      <c r="D28" s="905"/>
      <c r="E28" s="903" t="s">
        <v>2128</v>
      </c>
      <c r="J28" s="915"/>
      <c r="L28" s="1873">
        <f>Application!BX613</f>
        <v>0</v>
      </c>
      <c r="M28" s="1873">
        <f>Application!BX621+Application!BX630+Application!DC644</f>
        <v>0</v>
      </c>
      <c r="N28" s="1873"/>
      <c r="P28" s="1878">
        <v>1.25</v>
      </c>
      <c r="Q28" s="1878"/>
      <c r="R28" s="1878"/>
      <c r="S28" s="1878"/>
      <c r="T28" s="1878"/>
      <c r="V28" s="1878">
        <f>L28*P28</f>
        <v>0</v>
      </c>
      <c r="W28" s="1878"/>
      <c r="X28" s="1878"/>
    </row>
    <row r="29" spans="1:43">
      <c r="C29" s="905"/>
      <c r="D29" s="905"/>
      <c r="E29" s="903" t="s">
        <v>2129</v>
      </c>
      <c r="J29" s="915"/>
      <c r="L29" s="1873">
        <f>Application!CC613</f>
        <v>0</v>
      </c>
      <c r="M29" s="1873">
        <f>Application!CC621+Application!CC630+Application!DH644</f>
        <v>0</v>
      </c>
      <c r="N29" s="1873"/>
      <c r="P29" s="1878">
        <v>1.5</v>
      </c>
      <c r="Q29" s="1878"/>
      <c r="R29" s="1878"/>
      <c r="S29" s="1878"/>
      <c r="T29" s="1878"/>
      <c r="V29" s="1878">
        <f>L29*P29</f>
        <v>0</v>
      </c>
      <c r="W29" s="1878"/>
      <c r="X29" s="1878"/>
    </row>
    <row r="30" spans="1:43">
      <c r="C30" s="905"/>
      <c r="D30" s="905"/>
      <c r="E30" s="903" t="s">
        <v>2130</v>
      </c>
      <c r="J30" s="915"/>
      <c r="L30" s="1874">
        <f>Application!CH613+Application!CM613</f>
        <v>0</v>
      </c>
      <c r="M30" s="1874"/>
      <c r="N30" s="1874"/>
      <c r="P30" s="1878">
        <v>1.75</v>
      </c>
      <c r="Q30" s="1878"/>
      <c r="R30" s="1878">
        <f>1.75+0.25*0</f>
        <v>1.75</v>
      </c>
      <c r="S30" s="1878"/>
      <c r="T30" s="1878"/>
      <c r="V30" s="1879">
        <f>L30*P30</f>
        <v>0</v>
      </c>
      <c r="W30" s="1879"/>
      <c r="X30" s="1879"/>
    </row>
    <row r="31" spans="1:43">
      <c r="C31" s="905"/>
      <c r="D31" s="905"/>
      <c r="L31" s="1893">
        <f>SUM(L26:N30)</f>
        <v>58</v>
      </c>
      <c r="M31" s="1894"/>
      <c r="N31" s="1894"/>
      <c r="V31" s="1882">
        <f>SUM(V26:X30)</f>
        <v>58</v>
      </c>
      <c r="W31" s="1882"/>
      <c r="X31" s="1882"/>
    </row>
    <row r="32" spans="1:43">
      <c r="C32" s="905"/>
      <c r="D32" s="905"/>
      <c r="K32" s="916"/>
    </row>
    <row r="33" spans="1:27">
      <c r="C33" s="908" t="s">
        <v>202</v>
      </c>
      <c r="D33" s="908"/>
      <c r="E33" s="905" t="s">
        <v>2145</v>
      </c>
      <c r="H33" s="917"/>
      <c r="I33" s="918"/>
      <c r="J33" s="919"/>
      <c r="K33" s="916"/>
      <c r="M33" s="904"/>
      <c r="V33" s="1875">
        <f>IF(V31&gt;0,V31/Q22," ")</f>
        <v>2.3200000000000001E-5</v>
      </c>
      <c r="W33" s="1876"/>
      <c r="X33" s="1876"/>
      <c r="Y33" s="1876"/>
      <c r="Z33" s="1876"/>
      <c r="AA33" s="1877"/>
    </row>
    <row r="34" spans="1:27">
      <c r="K34" s="903"/>
      <c r="M34" s="904"/>
    </row>
    <row r="35" spans="1:27">
      <c r="E35" s="905" t="s">
        <v>2151</v>
      </c>
      <c r="F35" s="905"/>
      <c r="G35" s="905"/>
      <c r="H35" s="905"/>
      <c r="I35" s="905"/>
      <c r="J35" s="905"/>
      <c r="K35" s="905"/>
      <c r="L35" s="905"/>
      <c r="M35" s="925"/>
      <c r="N35" s="905"/>
      <c r="O35" s="905"/>
      <c r="P35" s="905"/>
      <c r="Q35" s="905"/>
      <c r="R35" s="905"/>
      <c r="V35" s="1886">
        <f>IF(V31&gt;0,1/V33," ")</f>
        <v>43103.448275862065</v>
      </c>
      <c r="W35" s="1887"/>
      <c r="X35" s="1887"/>
      <c r="Y35" s="1887"/>
      <c r="Z35" s="1887"/>
      <c r="AA35" s="1888"/>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2021-01-13T01:22:16Z</cp:lastPrinted>
  <dcterms:created xsi:type="dcterms:W3CDTF">2007-12-27T18:26:28Z</dcterms:created>
  <dcterms:modified xsi:type="dcterms:W3CDTF">2023-10-17T21:33:49Z</dcterms:modified>
</cp:coreProperties>
</file>