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12 Roseville Creekview/1_WORKING/CapitalMarkets/WorkingDocs/Applications/TCAC_CDLAC_LOT43_as USAPF-LowerBank/"/>
    </mc:Choice>
  </mc:AlternateContent>
  <xr:revisionPtr revIDLastSave="792" documentId="8_{64B4E55E-55F8-4AF7-8C7D-A38BBD8AEE11}" xr6:coauthVersionLast="47" xr6:coauthVersionMax="47" xr10:uidLastSave="{84C9C53A-FB03-4921-8B2C-ED5C9FBD50BE}"/>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3" i="13" l="1"/>
  <c r="F92" i="13"/>
  <c r="F91" i="13"/>
  <c r="F90" i="13"/>
  <c r="F89" i="13"/>
  <c r="F80" i="13"/>
  <c r="F79" i="13"/>
  <c r="F53" i="13"/>
  <c r="F51" i="13"/>
  <c r="F50" i="13"/>
  <c r="F46" i="13"/>
  <c r="F45" i="13"/>
  <c r="F43" i="13"/>
  <c r="F40" i="13"/>
  <c r="F35" i="13"/>
  <c r="F33" i="13"/>
  <c r="F32" i="13"/>
  <c r="F31" i="13"/>
  <c r="F30" i="13"/>
  <c r="F29" i="13"/>
  <c r="F10" i="13"/>
  <c r="F99" i="13"/>
  <c r="C99" i="13"/>
  <c r="C93" i="13"/>
  <c r="C92" i="13"/>
  <c r="C91" i="13"/>
  <c r="C90" i="13"/>
  <c r="C89" i="13"/>
  <c r="C88" i="13"/>
  <c r="C83" i="13"/>
  <c r="C80" i="13"/>
  <c r="C79" i="13"/>
  <c r="C75" i="13"/>
  <c r="C65" i="13"/>
  <c r="C61" i="13"/>
  <c r="C57" i="13"/>
  <c r="C56" i="13"/>
  <c r="C53" i="13"/>
  <c r="C51" i="13"/>
  <c r="C50" i="13"/>
  <c r="C46" i="13"/>
  <c r="C45" i="13"/>
  <c r="C43" i="13"/>
  <c r="C40" i="13"/>
  <c r="C35" i="13"/>
  <c r="C33" i="13"/>
  <c r="C32" i="13"/>
  <c r="C31" i="13"/>
  <c r="C30" i="13"/>
  <c r="C29" i="13"/>
  <c r="C10" i="13"/>
  <c r="C4" i="13"/>
  <c r="E10" i="4"/>
  <c r="E4" i="4"/>
  <c r="E61" i="4"/>
  <c r="E93" i="4"/>
  <c r="E92" i="4"/>
  <c r="E91" i="4"/>
  <c r="E90" i="4"/>
  <c r="E89" i="4"/>
  <c r="E88" i="4"/>
  <c r="E86" i="4"/>
  <c r="E85" i="4"/>
  <c r="E83" i="4"/>
  <c r="E80" i="4"/>
  <c r="E79" i="4"/>
  <c r="E65" i="4"/>
  <c r="E57" i="4"/>
  <c r="E56" i="4"/>
  <c r="E53" i="4"/>
  <c r="E51" i="4"/>
  <c r="E50" i="4"/>
  <c r="E46" i="4"/>
  <c r="E45" i="4"/>
  <c r="E43" i="4"/>
  <c r="E40" i="4"/>
  <c r="E35" i="4"/>
  <c r="E33" i="4"/>
  <c r="E32" i="4"/>
  <c r="E31" i="4"/>
  <c r="E30" i="4"/>
  <c r="F30" i="4"/>
  <c r="F29" i="4"/>
  <c r="E75" i="4"/>
  <c r="E99" i="4"/>
  <c r="T623" i="3" l="1"/>
  <c r="Q623" i="3"/>
  <c r="G61" i="4"/>
  <c r="H99" i="4"/>
  <c r="AF992" i="3" l="1"/>
  <c r="S99" i="4" l="1"/>
  <c r="S93" i="4"/>
  <c r="S92" i="4"/>
  <c r="S91" i="4"/>
  <c r="S90" i="4"/>
  <c r="S89" i="4"/>
  <c r="S86" i="4"/>
  <c r="S85" i="4"/>
  <c r="S80" i="4"/>
  <c r="S79" i="4"/>
  <c r="S53" i="4"/>
  <c r="S51" i="4"/>
  <c r="S50" i="4"/>
  <c r="S46" i="4"/>
  <c r="S45" i="4"/>
  <c r="S43" i="4"/>
  <c r="S40" i="4"/>
  <c r="S35" i="4"/>
  <c r="S30" i="4"/>
  <c r="S31" i="4"/>
  <c r="S32" i="4"/>
  <c r="S33" i="4"/>
  <c r="S29" i="4"/>
  <c r="S10" i="4"/>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BN616" i="3"/>
  <c r="DX616" i="3" s="1"/>
  <c r="BN617" i="3"/>
  <c r="BN618" i="3"/>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EH609" i="3" s="1"/>
  <c r="BX610" i="3"/>
  <c r="EH610" i="3" s="1"/>
  <c r="BX611" i="3"/>
  <c r="BX612" i="3"/>
  <c r="BX613" i="3"/>
  <c r="BX614" i="3"/>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ER613" i="3" s="1"/>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X636" i="3"/>
  <c r="CX638" i="3"/>
  <c r="CX641" i="3"/>
  <c r="DC634"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X722" i="3"/>
  <c r="AH722" i="3" s="1"/>
  <c r="BA665" i="3"/>
  <c r="X723" i="3"/>
  <c r="BA663" i="3"/>
  <c r="AH721" i="3" s="1"/>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C82" i="11" s="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F86" i="13" s="1"/>
  <c r="E85" i="13"/>
  <c r="F85" i="13" s="1"/>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C86" i="13" s="1"/>
  <c r="B85" i="13"/>
  <c r="C85"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2" i="4" s="1"/>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B9"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C55" i="11" s="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601" i="3"/>
  <c r="DX602" i="3"/>
  <c r="DX603" i="3"/>
  <c r="DX604" i="3"/>
  <c r="DX605" i="3"/>
  <c r="DX611" i="3"/>
  <c r="DX612" i="3"/>
  <c r="DX613" i="3"/>
  <c r="DX615" i="3"/>
  <c r="DX617" i="3"/>
  <c r="DX618" i="3"/>
  <c r="DX619" i="3"/>
  <c r="DX620" i="3"/>
  <c r="EC596" i="3"/>
  <c r="EC597" i="3"/>
  <c r="EC598" i="3"/>
  <c r="EC602" i="3"/>
  <c r="EC603" i="3"/>
  <c r="EC604" i="3"/>
  <c r="EC605" i="3"/>
  <c r="EC611" i="3"/>
  <c r="EC613" i="3"/>
  <c r="EC614" i="3"/>
  <c r="EC615" i="3"/>
  <c r="EC620" i="3"/>
  <c r="EH596" i="3"/>
  <c r="EH597" i="3"/>
  <c r="EH598" i="3"/>
  <c r="EH599" i="3"/>
  <c r="EH601" i="3"/>
  <c r="EH603" i="3"/>
  <c r="EH604" i="3"/>
  <c r="EH605" i="3"/>
  <c r="EH606" i="3"/>
  <c r="EH607" i="3"/>
  <c r="EH608" i="3"/>
  <c r="EH611" i="3"/>
  <c r="EH612" i="3"/>
  <c r="EH613" i="3"/>
  <c r="EH614" i="3"/>
  <c r="EH617" i="3"/>
  <c r="EH619" i="3"/>
  <c r="EH620" i="3"/>
  <c r="EM597" i="3"/>
  <c r="EM598" i="3"/>
  <c r="EM599" i="3"/>
  <c r="EM600" i="3"/>
  <c r="EM605" i="3"/>
  <c r="EM607" i="3"/>
  <c r="EM608" i="3"/>
  <c r="EM614" i="3"/>
  <c r="EM615" i="3"/>
  <c r="EM616" i="3"/>
  <c r="EM618" i="3"/>
  <c r="EW599" i="3"/>
  <c r="EW600" i="3"/>
  <c r="EW602" i="3"/>
  <c r="EW603" i="3"/>
  <c r="EW605" i="3"/>
  <c r="EW609" i="3"/>
  <c r="EW610" i="3"/>
  <c r="EW611" i="3"/>
  <c r="EW615" i="3"/>
  <c r="EW616" i="3"/>
  <c r="EW617" i="3"/>
  <c r="ER598" i="3"/>
  <c r="ER599" i="3"/>
  <c r="ER600" i="3"/>
  <c r="ER602" i="3"/>
  <c r="ER604" i="3"/>
  <c r="ER608" i="3"/>
  <c r="ER609" i="3"/>
  <c r="ER610" i="3"/>
  <c r="ER612" i="3"/>
  <c r="ER614" i="3"/>
  <c r="ER615" i="3"/>
  <c r="ER616" i="3"/>
  <c r="ER617" i="3"/>
  <c r="ER620" i="3"/>
  <c r="C11" i="4"/>
  <c r="B26" i="13"/>
  <c r="C38" i="4"/>
  <c r="B38" i="13" s="1"/>
  <c r="C54" i="4"/>
  <c r="B54" i="4" s="1"/>
  <c r="C62" i="4"/>
  <c r="B62" i="13" s="1"/>
  <c r="C77" i="4"/>
  <c r="B77" i="13" s="1"/>
  <c r="C96" i="4"/>
  <c r="B96" i="13" s="1"/>
  <c r="B104"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AH718" i="3" s="1"/>
  <c r="BA661" i="3"/>
  <c r="AH719" i="3" s="1"/>
  <c r="BA662" i="3"/>
  <c r="G671" i="3"/>
  <c r="Z671" i="3"/>
  <c r="BA668" i="3"/>
  <c r="AH726" i="3" s="1"/>
  <c r="BA669" i="3"/>
  <c r="BA670" i="3"/>
  <c r="BA671" i="3"/>
  <c r="BA672" i="3"/>
  <c r="BA673" i="3"/>
  <c r="BA674" i="3"/>
  <c r="BA675" i="3"/>
  <c r="G679" i="3"/>
  <c r="Z679" i="3"/>
  <c r="BA676" i="3"/>
  <c r="BA677" i="3"/>
  <c r="BA678" i="3"/>
  <c r="BA679" i="3"/>
  <c r="BA680" i="3"/>
  <c r="X714" i="3"/>
  <c r="AH714" i="3" s="1"/>
  <c r="X715" i="3"/>
  <c r="X716" i="3"/>
  <c r="X717" i="3"/>
  <c r="X718" i="3"/>
  <c r="X719" i="3"/>
  <c r="X720" i="3"/>
  <c r="X726" i="3"/>
  <c r="X727" i="3"/>
  <c r="X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D93" i="11"/>
  <c r="D70" i="11"/>
  <c r="D80" i="11"/>
  <c r="D52" i="11"/>
  <c r="I12" i="4"/>
  <c r="G12" i="4"/>
  <c r="D6" i="11"/>
  <c r="L63" i="4"/>
  <c r="L97" i="4"/>
  <c r="L105" i="4"/>
  <c r="Q12" i="4"/>
  <c r="B11" i="4"/>
  <c r="O63" i="4"/>
  <c r="O97" i="4"/>
  <c r="O105" i="4"/>
  <c r="D18" i="11"/>
  <c r="R70" i="4"/>
  <c r="B8" i="4"/>
  <c r="N158" i="26" s="1"/>
  <c r="D10" i="11"/>
  <c r="D36" i="11"/>
  <c r="G63" i="13"/>
  <c r="G97" i="13"/>
  <c r="G105" i="13"/>
  <c r="G107" i="13"/>
  <c r="D61" i="11"/>
  <c r="D57" i="11"/>
  <c r="D20" i="11"/>
  <c r="D8" i="11"/>
  <c r="D85" i="11"/>
  <c r="B43" i="11"/>
  <c r="D102" i="11"/>
  <c r="D94" i="11"/>
  <c r="K12" i="4"/>
  <c r="C43" i="11"/>
  <c r="D43" i="11" s="1"/>
  <c r="C12" i="13"/>
  <c r="D63" i="4"/>
  <c r="D97" i="4"/>
  <c r="D105" i="4"/>
  <c r="B78" i="11"/>
  <c r="D7" i="11"/>
  <c r="F63" i="4"/>
  <c r="F97" i="4" s="1"/>
  <c r="F105" i="4" s="1"/>
  <c r="J12" i="4"/>
  <c r="D22" i="11"/>
  <c r="O12" i="4"/>
  <c r="I63" i="4"/>
  <c r="I97" i="4"/>
  <c r="I105" i="4"/>
  <c r="D95" i="11"/>
  <c r="D25" i="11"/>
  <c r="B82" i="11"/>
  <c r="B11" i="13"/>
  <c r="D12" i="4"/>
  <c r="R77" i="4"/>
  <c r="H12" i="4"/>
  <c r="D23" i="11"/>
  <c r="D19" i="11"/>
  <c r="D89" i="11"/>
  <c r="D73" i="11"/>
  <c r="D44" i="11"/>
  <c r="D35" i="11"/>
  <c r="D76" i="11"/>
  <c r="D32" i="11"/>
  <c r="D15" i="11"/>
  <c r="D63" i="13"/>
  <c r="D97" i="13"/>
  <c r="D105" i="13"/>
  <c r="D14" i="11"/>
  <c r="Q63" i="4"/>
  <c r="Q97" i="4"/>
  <c r="Q105" i="4"/>
  <c r="D87" i="11"/>
  <c r="N63" i="4"/>
  <c r="N97" i="4"/>
  <c r="N105" i="4"/>
  <c r="N12" i="4"/>
  <c r="H63" i="4"/>
  <c r="H97" i="4"/>
  <c r="F12" i="4"/>
  <c r="D60" i="11"/>
  <c r="M12" i="4"/>
  <c r="R8" i="4"/>
  <c r="R12" i="4" s="1"/>
  <c r="D74" i="11"/>
  <c r="D59" i="11"/>
  <c r="D38" i="11"/>
  <c r="R42" i="4"/>
  <c r="P63" i="4"/>
  <c r="P97" i="4"/>
  <c r="P105" i="4"/>
  <c r="C63" i="11"/>
  <c r="D63" i="11" s="1"/>
  <c r="B63" i="11"/>
  <c r="C9" i="11"/>
  <c r="D12" i="13"/>
  <c r="D58" i="11"/>
  <c r="D62" i="11"/>
  <c r="D24" i="11"/>
  <c r="D101" i="11"/>
  <c r="D90" i="11"/>
  <c r="D66" i="11"/>
  <c r="D92" i="11"/>
  <c r="D75" i="11"/>
  <c r="B71" i="11"/>
  <c r="D28" i="11"/>
  <c r="D103" i="11"/>
  <c r="D88" i="11"/>
  <c r="C78" i="11"/>
  <c r="D78" i="11" s="1"/>
  <c r="D42" i="11"/>
  <c r="D21" i="11"/>
  <c r="D16" i="11"/>
  <c r="B12" i="11"/>
  <c r="R26" i="4"/>
  <c r="D81" i="11"/>
  <c r="B55" i="11"/>
  <c r="F63" i="13"/>
  <c r="AH716" i="3"/>
  <c r="AD199" i="20"/>
  <c r="B42" i="4"/>
  <c r="D77" i="11"/>
  <c r="D47" i="11"/>
  <c r="C71" i="11"/>
  <c r="M63" i="4"/>
  <c r="M97" i="4"/>
  <c r="M105" i="4"/>
  <c r="R104" i="4"/>
  <c r="G63" i="4"/>
  <c r="G97" i="4" s="1"/>
  <c r="G105" i="4" s="1"/>
  <c r="D91" i="11"/>
  <c r="J63" i="4"/>
  <c r="J97" i="4"/>
  <c r="J105" i="4"/>
  <c r="D41" i="11"/>
  <c r="C12" i="11"/>
  <c r="D12" i="11" s="1"/>
  <c r="K63" i="4"/>
  <c r="K97" i="4"/>
  <c r="K105" i="4"/>
  <c r="B62" i="4"/>
  <c r="AD7" i="15"/>
  <c r="AG40" i="7"/>
  <c r="AG43" i="7" s="1"/>
  <c r="K28" i="7"/>
  <c r="O28" i="7"/>
  <c r="I28" i="7"/>
  <c r="W28" i="7"/>
  <c r="S28" i="7"/>
  <c r="Y28" i="7"/>
  <c r="AC28" i="7"/>
  <c r="AG28" i="7"/>
  <c r="M28" i="7"/>
  <c r="G28" i="7"/>
  <c r="AA28" i="7"/>
  <c r="Q28" i="7"/>
  <c r="U28" i="7"/>
  <c r="D104" i="11"/>
  <c r="B96" i="4"/>
  <c r="T63" i="4"/>
  <c r="T97" i="4"/>
  <c r="D11" i="11"/>
  <c r="C12" i="4"/>
  <c r="B12" i="13"/>
  <c r="D71" i="11"/>
  <c r="C13" i="11"/>
  <c r="H63" i="13"/>
  <c r="T105" i="4"/>
  <c r="H97" i="13"/>
  <c r="D96" i="11"/>
  <c r="C97" i="11"/>
  <c r="T107" i="4"/>
  <c r="H105" i="13"/>
  <c r="H107" i="13"/>
  <c r="AD11" i="15"/>
  <c r="AZ835" i="3"/>
  <c r="AB223" i="20"/>
  <c r="AB239" i="20" s="1"/>
  <c r="AB241" i="20" s="1"/>
  <c r="AB243" i="20" s="1"/>
  <c r="AB249" i="20" s="1"/>
  <c r="AD198" i="20" s="1"/>
  <c r="AD200" i="20" s="1"/>
  <c r="C96" i="13" l="1"/>
  <c r="R96" i="4"/>
  <c r="F97" i="13"/>
  <c r="F105" i="13" s="1"/>
  <c r="F107" i="13" s="1"/>
  <c r="AH728" i="3"/>
  <c r="C63" i="13"/>
  <c r="C97" i="13" s="1"/>
  <c r="C105" i="13" s="1"/>
  <c r="E12" i="4"/>
  <c r="R54" i="4"/>
  <c r="E63" i="4"/>
  <c r="E97" i="4" s="1"/>
  <c r="E105" i="4" s="1"/>
  <c r="R38" i="4"/>
  <c r="R63" i="4"/>
  <c r="D100" i="11"/>
  <c r="N157" i="26"/>
  <c r="N164" i="26" s="1"/>
  <c r="B97" i="11"/>
  <c r="D97" i="11" s="1"/>
  <c r="D84" i="11"/>
  <c r="D46" i="11"/>
  <c r="AK172" i="20"/>
  <c r="AO65" i="20"/>
  <c r="AH717" i="3"/>
  <c r="AH724" i="3"/>
  <c r="G40" i="7"/>
  <c r="G43" i="7" s="1"/>
  <c r="AH715" i="3"/>
  <c r="AH723" i="3"/>
  <c r="AH727" i="3"/>
  <c r="S63" i="4"/>
  <c r="D105" i="11"/>
  <c r="D82" i="11"/>
  <c r="D55" i="11"/>
  <c r="B54" i="13"/>
  <c r="B39" i="11"/>
  <c r="C39" i="11"/>
  <c r="D39" i="11" s="1"/>
  <c r="D31" i="11"/>
  <c r="B38" i="4"/>
  <c r="B63" i="4" s="1"/>
  <c r="D9" i="11"/>
  <c r="B13" i="11"/>
  <c r="D13" i="11"/>
  <c r="C63" i="4"/>
  <c r="C97" i="4" s="1"/>
  <c r="C105" i="4" s="1"/>
  <c r="D5" i="11"/>
  <c r="B64" i="11"/>
  <c r="B12" i="4"/>
  <c r="Q30" i="21" a="1"/>
  <c r="Q30" i="21"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R97" i="4" l="1"/>
  <c r="R105" i="4" s="1"/>
  <c r="AC869" i="3"/>
  <c r="B98" i="11"/>
  <c r="B106" i="11" s="1"/>
  <c r="AS351" i="20"/>
  <c r="AS347" i="20" s="1"/>
  <c r="AK458" i="20" s="1"/>
  <c r="T802" i="20" s="1"/>
  <c r="AF802" i="20" s="1"/>
  <c r="S97" i="4"/>
  <c r="E63" i="13"/>
  <c r="B63" i="1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97" i="13"/>
  <c r="AB47" i="15"/>
  <c r="AB49" i="15" s="1"/>
  <c r="AB54" i="15" s="1"/>
  <c r="AB55" i="15" s="1"/>
  <c r="N154" i="26"/>
  <c r="O29" i="21"/>
  <c r="P29" i="21" s="1" a="1"/>
  <c r="P29" i="21" s="1"/>
  <c r="R29" i="21" s="1"/>
  <c r="O33" i="21"/>
  <c r="P33" i="21" s="1" a="1"/>
  <c r="P33" i="21" s="1"/>
  <c r="R33"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G38" i="21" l="1"/>
  <c r="G40" i="21" s="1"/>
  <c r="E10" i="21" s="1"/>
  <c r="S107" i="4"/>
  <c r="E105" i="13"/>
  <c r="N165" i="26"/>
  <c r="N155" i="26"/>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C455" i="3" l="1"/>
  <c r="AF540" i="20"/>
  <c r="E107" i="1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AP546" i="20" s="1"/>
  <c r="AP545" i="20" s="1"/>
  <c r="Y11" i="15"/>
  <c r="Y23" i="15" s="1"/>
  <c r="Y26" i="15" s="1"/>
  <c r="Y28" i="15" s="1"/>
  <c r="T11" i="15"/>
  <c r="T23"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AD38" i="15" s="1"/>
  <c r="AD40" i="15" s="1"/>
  <c r="Y64" i="15"/>
  <c r="Y68" i="15" s="1"/>
  <c r="T26" i="15"/>
  <c r="T28" i="15" s="1"/>
  <c r="T29" i="15" s="1"/>
  <c r="AP548" i="20"/>
  <c r="AF541" i="20" s="1"/>
  <c r="AF542" i="20" s="1"/>
  <c r="AK548" i="20" s="1"/>
  <c r="T803" i="20" s="1"/>
  <c r="AF803" i="20" s="1"/>
  <c r="AF806"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Y38" i="15" l="1"/>
  <c r="Y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<sst xmlns="http://schemas.openxmlformats.org/spreadsheetml/2006/main" count="5183" uniqueCount="2734">
  <si>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</si>
  <si>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</si>
  <si>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</si>
  <si>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</si>
  <si>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</si>
  <si>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</si>
  <si>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</si>
  <si>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</si>
  <si>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</si>
  <si>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</si>
  <si>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</si>
  <si>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</si>
  <si>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</si>
  <si>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</si>
  <si>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</si>
  <si>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</si>
  <si>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</si>
  <si>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</si>
  <si>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</si>
  <si>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</si>
  <si>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</si>
  <si>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</si>
  <si>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</si>
  <si>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</si>
  <si>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</si>
  <si>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</si>
  <si>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</si>
  <si>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</si>
  <si>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</si>
  <si>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</si>
  <si>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</si>
  <si>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</si>
  <si>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</si>
  <si>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</si>
  <si>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</si>
  <si>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</si>
  <si>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</si>
  <si>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</si>
  <si>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</si>
  <si>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</si>
  <si>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</si>
  <si>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</si>
  <si>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</si>
  <si>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</si>
  <si>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</si>
  <si>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</si>
  <si>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</si>
  <si>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</si>
  <si>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</si>
  <si>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</si>
  <si>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</si>
  <si>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</si>
  <si>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</si>
  <si>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</si>
  <si>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</si>
  <si>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</si>
  <si>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</si>
  <si>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</si>
  <si>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</si>
  <si>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</si>
  <si>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</si>
  <si>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</si>
  <si>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</si>
  <si>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</si>
  <si>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</si>
  <si>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</si>
  <si>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</si>
  <si>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</si>
  <si>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</si>
  <si>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</si>
  <si>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</si>
  <si>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</si>
  <si>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</si>
  <si>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</si>
  <si>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</si>
  <si>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</si>
  <si>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</si>
  <si>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</si>
  <si>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</si>
  <si>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</si>
  <si>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</si>
  <si>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</si>
  <si>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</si>
  <si>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</si>
  <si>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</si>
  <si>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</si>
  <si>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</si>
  <si>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</si>
  <si>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</si>
  <si>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</si>
  <si>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</si>
  <si>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</si>
  <si>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</si>
  <si>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</si>
  <si>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</si>
  <si>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</si>
  <si>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</si>
  <si>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</si>
  <si>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</si>
  <si>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</si>
  <si>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</si>
  <si>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</si>
  <si>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</si>
  <si>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</si>
  <si>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</si>
  <si>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</si>
  <si>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</si>
  <si>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</si>
  <si>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</si>
  <si>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</si>
  <si>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</si>
  <si>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</si>
  <si>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</si>
  <si>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</si>
  <si>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</si>
  <si>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</si>
  <si>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</si>
  <si>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</si>
  <si>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</si>
  <si>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</si>
  <si>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</si>
  <si>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</si>
  <si>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</si>
  <si>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</si>
  <si>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</si>
  <si>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</si>
  <si>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</si>
  <si>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</si>
  <si>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</si>
  <si>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</si>
  <si>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</si>
  <si>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</si>
  <si>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</si>
  <si>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</si>
  <si>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</si>
  <si>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</si>
  <si>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</si>
  <si>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</si>
  <si>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</si>
  <si>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</si>
  <si>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</si>
  <si>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</si>
  <si>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</si>
  <si>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</si>
  <si>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</si>
  <si>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</si>
  <si>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</si>
  <si>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</si>
  <si>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</si>
  <si>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</si>
  <si>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</si>
  <si>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</si>
  <si>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</si>
  <si>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</si>
  <si>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</si>
  <si>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</si>
  <si>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</si>
  <si>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</si>
  <si>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</si>
  <si>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</si>
  <si>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</si>
  <si>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</si>
  <si>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</si>
  <si>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</si>
  <si>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</si>
  <si>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</si>
  <si>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</si>
  <si>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</si>
  <si>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</si>
  <si>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</si>
  <si>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</si>
  <si>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</si>
  <si>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</si>
  <si>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</si>
  <si>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</si>
  <si>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</si>
  <si>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</si>
  <si>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</si>
  <si>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</si>
  <si>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</si>
  <si>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</si>
  <si>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</si>
  <si>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</si>
  <si>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</si>
  <si>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</si>
  <si>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</si>
  <si>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</si>
  <si>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</si>
  <si>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</si>
  <si>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</si>
  <si>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</si>
  <si>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</si>
  <si>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</si>
  <si>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</si>
  <si>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</si>
  <si>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</si>
  <si>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</si>
  <si>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</si>
  <si>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</si>
  <si>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</si>
  <si>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</si>
  <si>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</si>
  <si>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</si>
  <si>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</si>
  <si>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</si>
  <si>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</si>
  <si>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</si>
  <si>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</si>
  <si>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</si>
  <si>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</si>
  <si>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</si>
  <si>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</si>
  <si>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</si>
  <si>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</si>
  <si>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</si>
  <si>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</si>
  <si>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</si>
  <si>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</si>
  <si>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</si>
  <si>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</si>
  <si>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</si>
  <si>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</si>
  <si>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</si>
  <si>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</si>
  <si>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</si>
  <si>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</si>
  <si>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</si>
  <si>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</si>
  <si>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</si>
  <si>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</si>
  <si>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</si>
  <si>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</si>
  <si>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</si>
  <si>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</si>
  <si>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</si>
  <si>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</si>
  <si>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</si>
  <si>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</si>
  <si>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</si>
  <si>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</si>
  <si>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</si>
  <si>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</si>
  <si>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</si>
  <si>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</si>
  <si>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</si>
  <si>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</si>
  <si>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</si>
  <si>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</si>
  <si>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</si>
  <si>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</si>
  <si>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</si>
  <si>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</si>
  <si>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</si>
  <si>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</si>
  <si>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</si>
  <si>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</si>
  <si>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</si>
  <si>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</si>
  <si>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</si>
  <si>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</si>
  <si>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</si>
  <si>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</si>
  <si>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</si>
  <si>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</si>
  <si>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</si>
  <si>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</si>
  <si>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</si>
  <si>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</si>
  <si>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</si>
  <si>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</si>
  <si>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</si>
  <si>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</si>
  <si>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</si>
  <si>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</si>
  <si>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</si>
  <si>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</si>
  <si>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</si>
  <si>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</si>
  <si>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</si>
  <si>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</si>
  <si>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</si>
  <si>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</si>
  <si>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</si>
  <si>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</si>
  <si>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</si>
  <si>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</si>
  <si>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</si>
  <si>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</si>
  <si>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</si>
  <si>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</si>
  <si>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</si>
  <si>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</si>
  <si>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</si>
  <si>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</si>
  <si>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</si>
  <si>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</si>
  <si>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</si>
  <si>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</si>
  <si>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</si>
  <si>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</si>
  <si>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</si>
  <si>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</si>
  <si>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</si>
  <si>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</si>
  <si>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</si>
  <si>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</si>
  <si>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</si>
  <si>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</si>
  <si>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</si>
  <si>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</si>
  <si>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</si>
  <si>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</si>
  <si>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</si>
  <si>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</si>
  <si>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</si>
  <si>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</si>
  <si>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</si>
  <si>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</si>
  <si>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</si>
  <si>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</si>
  <si>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</si>
  <si>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</si>
  <si>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</si>
  <si>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</si>
  <si>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</si>
  <si>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</si>
  <si>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</si>
  <si>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</si>
  <si>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</si>
  <si>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</si>
  <si>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</si>
  <si>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</si>
  <si>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</si>
  <si>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</si>
  <si>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</si>
  <si>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</si>
  <si>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</si>
  <si>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</si>
  <si>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</si>
  <si>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</si>
  <si>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</si>
  <si>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</si>
  <si>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</si>
  <si>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</si>
  <si>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</si>
  <si>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</si>
  <si>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</si>
  <si>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</si>
  <si>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</si>
  <si>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</si>
  <si>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</si>
  <si>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</si>
  <si>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</si>
  <si>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</si>
  <si>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</si>
  <si>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</si>
  <si>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</si>
  <si>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</si>
  <si>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</si>
  <si>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</si>
  <si>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</si>
  <si>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</si>
  <si>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</si>
  <si>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</si>
  <si>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</si>
  <si>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</si>
  <si>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</si>
  <si>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</si>
  <si>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</si>
  <si>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</si>
  <si>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</si>
  <si>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</si>
  <si>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</si>
  <si>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</si>
  <si>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</si>
  <si>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</si>
  <si>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</si>
  <si>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</si>
  <si>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</si>
  <si>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</si>
  <si>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</si>
  <si>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</si>
  <si>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</si>
  <si>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</si>
  <si>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</si>
  <si>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</si>
  <si>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</si>
  <si>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</si>
  <si>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</si>
  <si>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</si>
  <si>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</si>
  <si>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</si>
  <si>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</si>
  <si>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</si>
  <si>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</si>
  <si>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</si>
  <si>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</si>
  <si>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</si>
  <si>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</si>
  <si>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</si>
  <si>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</si>
  <si>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</si>
  <si>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</si>
  <si>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</si>
  <si>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</si>
  <si>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</si>
  <si>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</si>
  <si>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</si>
  <si>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</si>
  <si>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</si>
  <si>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</si>
  <si>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</si>
  <si>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</si>
  <si>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</si>
  <si>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</si>
  <si>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</si>
  <si>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</si>
  <si>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</si>
  <si>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</si>
  <si>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</si>
  <si>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</si>
  <si>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</si>
  <si>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</si>
  <si>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</si>
  <si>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</si>
  <si>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</si>
  <si>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</si>
  <si>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</si>
  <si>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</si>
  <si>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</si>
  <si>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</si>
  <si>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</si>
  <si>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</si>
  <si>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</si>
  <si>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</si>
  <si>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</si>
  <si>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</si>
  <si>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</si>
  <si>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</si>
  <si>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</si>
  <si>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</si>
  <si>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</si>
  <si>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</si>
  <si>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</si>
  <si>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</si>
  <si>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</si>
  <si>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</si>
  <si>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</si>
  <si>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</si>
  <si>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</si>
  <si>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</si>
  <si>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</si>
  <si>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</si>
  <si>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</si>
  <si>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</si>
  <si>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</si>
  <si>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</si>
  <si>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</si>
  <si>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</si>
  <si>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</si>
  <si>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</si>
  <si>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</si>
  <si>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</si>
  <si>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</si>
  <si>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</si>
  <si>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</si>
  <si>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</si>
  <si>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</si>
  <si>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</si>
  <si>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</si>
  <si>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</si>
  <si>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</si>
  <si>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</si>
  <si>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</si>
  <si>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</si>
  <si>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</si>
  <si>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</si>
  <si>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</si>
  <si>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</si>
  <si>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</si>
  <si>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</si>
  <si>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</si>
  <si>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</si>
  <si>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</si>
  <si>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</si>
  <si>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</si>
  <si>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</si>
  <si>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</si>
  <si>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</si>
  <si>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</si>
  <si>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</si>
  <si>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</si>
  <si>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</si>
  <si>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</si>
  <si>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</si>
  <si>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</si>
  <si>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</si>
  <si>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</si>
  <si>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</si>
  <si>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</si>
  <si>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</si>
  <si>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</si>
  <si>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</si>
  <si>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</si>
  <si>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</si>
  <si>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</si>
  <si>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</si>
  <si>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</si>
  <si>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</si>
  <si>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</si>
  <si>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</si>
  <si>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</si>
  <si>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</si>
  <si>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</si>
  <si>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</si>
  <si>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</si>
  <si>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</si>
  <si>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</si>
  <si>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</si>
  <si>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</si>
  <si>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</si>
  <si>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</si>
  <si>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</si>
  <si>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</si>
  <si>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</si>
  <si>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</si>
  <si>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</si>
  <si>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</si>
  <si>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</si>
  <si>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</si>
  <si>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</si>
  <si>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</si>
  <si>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</si>
  <si>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</si>
  <si>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</si>
  <si>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</si>
  <si>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</si>
  <si>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</si>
  <si>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</si>
  <si>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</si>
  <si>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</si>
  <si>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</si>
  <si>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</si>
  <si>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</si>
  <si>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</si>
  <si>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</si>
  <si>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</si>
  <si>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</si>
  <si>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</si>
  <si>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</si>
  <si>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</si>
  <si>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</si>
  <si>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</si>
  <si>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</si>
  <si>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</si>
  <si>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</si>
  <si>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</si>
  <si>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</si>
  <si>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</si>
  <si>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</si>
  <si>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</si>
  <si>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</si>
  <si>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</si>
  <si>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</si>
  <si>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</si>
  <si>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</si>
  <si>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</si>
  <si>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</si>
  <si>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</si>
  <si>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</si>
  <si>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</si>
  <si>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</si>
  <si>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</si>
  <si>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</si>
  <si>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</si>
  <si>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</si>
  <si>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</si>
  <si>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</si>
  <si>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</si>
  <si>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</si>
  <si>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</si>
  <si>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</si>
  <si>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</si>
  <si>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</si>
  <si>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</si>
  <si>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</si>
  <si>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</si>
  <si>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</si>
  <si>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</si>
  <si>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</si>
  <si>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</si>
  <si>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</si>
  <si>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</si>
  <si>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</si>
  <si>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</si>
  <si>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</si>
  <si>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</si>
  <si>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</si>
  <si>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</si>
  <si>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</si>
  <si>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</si>
  <si>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</si>
  <si>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</si>
  <si>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</si>
  <si>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</si>
  <si>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</si>
  <si>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</si>
  <si>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</si>
  <si>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</si>
  <si>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</si>
  <si>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</si>
  <si>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</si>
  <si>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</si>
  <si>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</si>
  <si>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</si>
  <si>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</si>
  <si>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</si>
  <si>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</si>
  <si>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</si>
  <si>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</si>
  <si>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</si>
  <si>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</si>
  <si>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</si>
  <si>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</si>
  <si>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</si>
  <si>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</si>
  <si>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</si>
  <si>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</si>
  <si>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</si>
  <si>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</si>
  <si>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</si>
  <si>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</si>
  <si>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</si>
  <si>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</si>
  <si>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</si>
  <si>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</si>
  <si>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</si>
  <si>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</si>
  <si>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</si>
  <si>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</si>
  <si>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</si>
  <si>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</si>
  <si>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</si>
  <si>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</si>
  <si>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</si>
  <si>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</si>
  <si>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</si>
  <si>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</si>
  <si>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</si>
  <si>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</si>
  <si>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</si>
  <si>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</si>
  <si>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</si>
  <si>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</si>
  <si>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</si>
  <si>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</si>
  <si>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</si>
  <si>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</si>
  <si>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</si>
  <si>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</si>
  <si>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</si>
  <si>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</si>
  <si>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</si>
  <si>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</si>
  <si>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</si>
  <si>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</si>
  <si>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</si>
  <si>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</si>
  <si>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</si>
  <si>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</si>
  <si>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</si>
  <si>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</si>
  <si>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</si>
  <si>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</si>
  <si>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</si>
  <si>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</si>
  <si>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</si>
  <si>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</si>
  <si>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</si>
  <si>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</si>
  <si>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</si>
  <si>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</si>
  <si>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</si>
  <si>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</si>
  <si>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</si>
  <si>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</si>
  <si>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</si>
  <si>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</si>
  <si>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</si>
  <si>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</si>
  <si>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</si>
  <si>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</si>
  <si>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</si>
  <si>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</si>
  <si>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</si>
  <si>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</si>
  <si>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</si>
  <si>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</si>
  <si>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</si>
  <si>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</si>
  <si>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</si>
  <si>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</si>
  <si>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</si>
  <si>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</si>
  <si>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</si>
  <si>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</si>
  <si>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</si>
  <si>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</si>
  <si>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</si>
  <si>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</si>
  <si>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</si>
  <si>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</si>
  <si>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</si>
  <si>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</si>
  <si>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</si>
  <si>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</si>
  <si>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</si>
  <si>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</si>
  <si>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</si>
  <si>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</si>
  <si>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</si>
  <si>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</si>
  <si>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</si>
  <si>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</si>
  <si>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</si>
  <si>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</si>
  <si>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</si>
  <si>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</si>
  <si>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</si>
  <si>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</si>
  <si>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</si>
  <si>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</si>
  <si>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</si>
  <si>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</si>
  <si>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</si>
  <si>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</si>
  <si>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</si>
  <si>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</si>
  <si>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</si>
  <si>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</si>
  <si>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</si>
  <si>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</si>
  <si>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</si>
  <si>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</si>
  <si>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</si>
  <si>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</si>
  <si>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</si>
  <si>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</si>
  <si>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</si>
  <si>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</si>
  <si>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</si>
  <si>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</si>
  <si>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</si>
  <si>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</si>
  <si>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</si>
  <si>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</si>
  <si>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</si>
  <si>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</si>
  <si>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</si>
  <si>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</si>
  <si>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</si>
  <si>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</si>
  <si>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</si>
  <si>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</si>
  <si>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</si>
  <si>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</si>
  <si>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</si>
  <si>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</si>
  <si>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</si>
  <si>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</si>
  <si>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</si>
  <si>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</si>
  <si>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</si>
  <si>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</si>
  <si>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</si>
  <si>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</si>
  <si>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</si>
  <si>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</si>
  <si>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</si>
  <si>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</si>
  <si>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</si>
  <si>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</si>
  <si>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</si>
  <si>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</si>
  <si>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</si>
  <si>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</si>
  <si>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</si>
  <si>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</si>
  <si>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</si>
  <si>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</si>
  <si>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</si>
  <si>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</si>
  <si>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</si>
  <si>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</si>
  <si>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</si>
  <si>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</si>
  <si>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</si>
  <si>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</si>
  <si>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</si>
  <si>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</si>
  <si>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</si>
  <si>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</si>
  <si>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</si>
  <si>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</si>
  <si>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</si>
  <si>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</si>
  <si>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</si>
  <si>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</si>
  <si>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</si>
  <si>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</si>
  <si>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</si>
  <si>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</si>
  <si>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</si>
  <si>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</si>
  <si>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</si>
  <si>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</si>
  <si>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</si>
  <si>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</si>
  <si>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</si>
  <si>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</si>
  <si>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</si>
  <si>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</si>
  <si>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</si>
  <si>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</si>
  <si>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</si>
  <si>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</si>
  <si>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</si>
  <si>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</si>
  <si>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</si>
  <si>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</si>
  <si>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</si>
  <si>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</si>
  <si>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</si>
  <si>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</si>
  <si>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</si>
  <si>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</si>
  <si>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</si>
  <si>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</si>
  <si>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</si>
  <si>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</si>
  <si>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</si>
  <si>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</si>
  <si>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</si>
  <si>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</si>
  <si>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</si>
  <si>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</si>
  <si>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</si>
  <si>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</si>
  <si>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</si>
  <si>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</si>
  <si>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</si>
  <si>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</si>
  <si>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</si>
  <si>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</si>
  <si>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</si>
  <si>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</si>
  <si>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</si>
  <si>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</si>
  <si>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</si>
  <si>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</si>
  <si>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</si>
  <si>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</si>
  <si>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</si>
  <si>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</si>
  <si>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</si>
  <si>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</si>
  <si>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</si>
  <si>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</si>
  <si>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</si>
  <si>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</si>
  <si>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</si>
  <si>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</si>
  <si>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</si>
  <si>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</si>
  <si>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</si>
  <si>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</si>
  <si>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</si>
  <si>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</si>
  <si>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</si>
  <si>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</si>
  <si>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</si>
  <si>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</si>
  <si>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</si>
  <si>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</si>
  <si>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</si>
  <si>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</si>
  <si>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</si>
  <si>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</si>
  <si>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</si>
  <si>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</si>
  <si>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</si>
  <si>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</si>
  <si>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</si>
  <si>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</si>
  <si>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</si>
  <si>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</si>
  <si>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</si>
  <si>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</si>
  <si>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</si>
  <si>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</si>
  <si>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</si>
  <si>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</si>
  <si>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</si>
  <si>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</si>
  <si>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</si>
  <si>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</si>
  <si>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</si>
  <si>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</si>
  <si>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</si>
  <si>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</si>
  <si>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</si>
  <si>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</si>
  <si>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</si>
  <si>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</si>
  <si>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</si>
  <si>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</si>
  <si>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</si>
  <si>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</si>
  <si>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</si>
  <si>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</si>
  <si>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</si>
  <si>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</si>
  <si>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</si>
  <si>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</si>
  <si>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</si>
  <si>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</si>
  <si>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</si>
  <si>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</si>
  <si>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</si>
  <si>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</si>
  <si>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</si>
  <si>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</si>
  <si>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</si>
  <si>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</si>
  <si>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</si>
  <si>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</si>
  <si>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</si>
  <si>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</si>
  <si>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</si>
  <si>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</si>
  <si>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</si>
  <si>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</si>
  <si>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</si>
  <si>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</si>
  <si>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</si>
  <si>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</si>
  <si>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</si>
  <si>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</si>
  <si>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</si>
  <si>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</si>
  <si>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</si>
  <si>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</si>
  <si>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</si>
  <si>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</si>
  <si>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</si>
  <si>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</si>
  <si>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</si>
  <si>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</si>
  <si>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</si>
  <si>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</si>
  <si>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</si>
  <si>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</si>
  <si>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</si>
  <si>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</si>
  <si>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</si>
  <si>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</si>
  <si>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</si>
  <si>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</si>
  <si>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</si>
  <si>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</si>
  <si>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</si>
  <si>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</si>
  <si>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</si>
  <si>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</si>
  <si>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</si>
  <si>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</si>
  <si>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</si>
  <si>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</si>
  <si>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</si>
  <si>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</si>
  <si>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</si>
  <si>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</si>
  <si>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</si>
  <si>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</si>
  <si>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</si>
  <si>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</si>
  <si>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</si>
  <si>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</si>
  <si>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</si>
  <si>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</si>
  <si>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</si>
  <si>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</si>
  <si>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</si>
  <si>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</si>
  <si>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</si>
  <si>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</si>
  <si>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</si>
  <si>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</si>
  <si>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</si>
  <si>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</si>
  <si>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</si>
  <si>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</si>
  <si>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</si>
  <si>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</si>
  <si>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</si>
  <si>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</si>
  <si>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</si>
  <si>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</si>
  <si>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</si>
  <si>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</si>
  <si>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</si>
  <si>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</si>
  <si>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</si>
  <si>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</si>
  <si>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</si>
  <si>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</si>
  <si>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</si>
  <si>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</si>
  <si>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</si>
  <si>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</si>
  <si>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</si>
  <si>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</si>
  <si>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</si>
  <si>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</si>
  <si>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</si>
  <si>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</si>
  <si>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</si>
  <si>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</si>
  <si>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</si>
  <si>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</si>
  <si>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</si>
  <si>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</si>
  <si>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</si>
  <si>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</si>
  <si>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</si>
  <si>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</si>
  <si>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</si>
  <si>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</si>
  <si>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</si>
  <si>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</si>
  <si>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</si>
  <si>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</si>
  <si>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</si>
  <si>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</si>
  <si>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</si>
  <si>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</si>
  <si>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</si>
  <si>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</si>
  <si>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</si>
  <si>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</si>
  <si>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</si>
  <si>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</si>
  <si>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</si>
  <si>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</si>
  <si>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</si>
  <si>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</si>
  <si>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</si>
  <si>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</si>
  <si>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</si>
  <si>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</si>
  <si>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</si>
  <si>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</si>
  <si>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</si>
  <si>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</si>
  <si>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</si>
  <si>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</si>
  <si>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</si>
  <si>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</si>
  <si>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</si>
  <si>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</si>
  <si>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</si>
  <si>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</si>
  <si>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</si>
  <si>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</si>
  <si>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</si>
  <si>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</si>
  <si>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</si>
  <si>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</si>
  <si>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</si>
  <si>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</si>
  <si>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</si>
  <si>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</si>
  <si>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</si>
  <si>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</si>
  <si>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</si>
  <si>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</si>
  <si>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</si>
  <si>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</si>
  <si>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</si>
  <si>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</si>
  <si>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</si>
  <si>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</si>
  <si>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</si>
  <si>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</si>
  <si>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</si>
  <si>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</si>
  <si>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</si>
  <si>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</si>
  <si>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</si>
  <si>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</si>
  <si>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</si>
  <si>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</si>
  <si>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</si>
  <si>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</si>
  <si>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</si>
  <si>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</si>
  <si>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</si>
  <si>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</si>
  <si>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</si>
  <si>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</si>
  <si>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</si>
  <si>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</si>
  <si>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</si>
  <si>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</si>
  <si>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</si>
  <si>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</si>
  <si>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</si>
  <si>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</si>
  <si>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</si>
  <si>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</si>
  <si>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</si>
  <si>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</si>
  <si>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</si>
  <si>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</si>
  <si>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</si>
  <si>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</si>
  <si>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</si>
  <si>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</si>
  <si>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</si>
  <si>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</si>
  <si>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</si>
  <si>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</si>
  <si>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</si>
  <si>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</si>
  <si>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</si>
  <si>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</si>
  <si>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</si>
  <si>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</si>
  <si>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</si>
  <si>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</si>
  <si>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</si>
  <si>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</si>
  <si>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</si>
  <si>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</si>
  <si>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</si>
  <si>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</si>
  <si>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</si>
  <si>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</si>
  <si>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</si>
  <si>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</si>
  <si>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</si>
  <si>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</si>
  <si>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</si>
  <si>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</si>
  <si>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</si>
  <si>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</si>
  <si>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</si>
  <si>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</si>
  <si>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</si>
  <si>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</si>
  <si>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</si>
  <si>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</si>
  <si>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</si>
  <si>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</si>
  <si>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</si>
  <si>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</si>
  <si>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</si>
  <si>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</si>
  <si>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</si>
  <si>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</si>
  <si>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</si>
  <si>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</si>
  <si>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</si>
  <si>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</si>
  <si>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</si>
  <si>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</si>
  <si>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</si>
  <si>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</si>
  <si>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</si>
  <si>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</si>
  <si>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</si>
  <si>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</si>
  <si>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</si>
  <si>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</si>
  <si>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</si>
  <si>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</si>
  <si>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</si>
  <si>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</si>
  <si>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</si>
  <si>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</si>
  <si>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</si>
  <si>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</si>
  <si>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</si>
  <si>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</si>
  <si>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</si>
  <si>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</si>
  <si>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</si>
  <si>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</si>
  <si>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</si>
  <si>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</si>
  <si>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</si>
  <si>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</si>
  <si>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</si>
  <si>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</si>
  <si>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</si>
  <si>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</si>
  <si>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</si>
  <si>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</si>
  <si>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</si>
  <si>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</si>
  <si>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</si>
  <si>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</si>
  <si>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</si>
  <si>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</si>
  <si>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</si>
  <si>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</si>
  <si>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</si>
  <si>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</si>
  <si>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</si>
  <si>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</si>
  <si>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</si>
  <si>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</si>
  <si>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</si>
  <si>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</si>
  <si>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</si>
  <si>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</si>
  <si>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</si>
  <si>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</si>
  <si>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</si>
  <si>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</si>
  <si>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</si>
  <si>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</si>
  <si>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</si>
  <si>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</si>
  <si>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</si>
  <si>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</si>
  <si>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</si>
  <si>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</si>
  <si>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</si>
  <si>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</si>
  <si>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</si>
  <si>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</si>
  <si>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</si>
  <si>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</si>
  <si>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</si>
  <si>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</si>
  <si>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</si>
  <si>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</si>
  <si>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</si>
  <si>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</si>
  <si>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</si>
  <si>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</si>
  <si>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</si>
  <si>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</si>
  <si>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</si>
  <si>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</si>
  <si>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</si>
  <si>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</si>
  <si>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</si>
  <si>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</si>
  <si>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</si>
  <si>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</si>
  <si>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</si>
  <si>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</si>
  <si>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</si>
  <si>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</si>
  <si>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</si>
  <si>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</si>
  <si>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</si>
  <si>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</si>
  <si>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</si>
  <si>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</si>
  <si>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</si>
  <si>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</si>
  <si>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</si>
  <si>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</si>
  <si>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</si>
  <si>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</si>
  <si>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</si>
  <si>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</si>
  <si>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</si>
  <si>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</si>
  <si>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</si>
  <si>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</si>
  <si>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</si>
  <si>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</si>
  <si>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</si>
  <si>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</si>
  <si>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</si>
  <si>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</si>
  <si>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</si>
  <si>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</si>
  <si>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</si>
  <si>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</si>
  <si>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</si>
  <si>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</si>
  <si>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</si>
  <si>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</si>
  <si>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</si>
  <si>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</si>
  <si>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</si>
  <si>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</si>
  <si>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</si>
  <si>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</si>
  <si>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</si>
  <si>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</si>
  <si>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</si>
  <si>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</si>
  <si>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</si>
  <si>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</si>
  <si>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</si>
  <si>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</si>
  <si>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</si>
  <si>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</si>
  <si>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</si>
  <si>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</si>
  <si>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</si>
  <si>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</si>
  <si>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</si>
  <si>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</si>
  <si>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</si>
  <si>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</si>
  <si>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</si>
  <si>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</si>
  <si>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</si>
  <si>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</si>
  <si>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</si>
  <si>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</si>
  <si>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</si>
  <si>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</si>
  <si>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</si>
  <si>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</si>
  <si>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</si>
  <si>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</si>
  <si>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</si>
  <si>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</si>
  <si>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</si>
  <si>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</si>
  <si>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</si>
  <si>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</si>
  <si>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</si>
  <si>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</si>
  <si>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</si>
  <si>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</si>
  <si>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</si>
  <si>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</si>
  <si>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</si>
  <si>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</si>
  <si>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</si>
  <si>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</si>
  <si>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</si>
  <si>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</si>
  <si>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</si>
  <si>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</si>
  <si>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</si>
  <si>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</si>
  <si>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</si>
  <si>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</si>
  <si>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</si>
  <si>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</si>
  <si>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</si>
  <si>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</si>
  <si>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</si>
  <si>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</si>
  <si>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</si>
  <si>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</si>
  <si>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</si>
  <si>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</si>
  <si>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</si>
  <si>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</si>
  <si>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</si>
  <si>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</si>
  <si>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</si>
  <si>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</si>
  <si>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</si>
  <si>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</si>
  <si>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</si>
  <si>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</si>
  <si>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</si>
  <si>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</si>
  <si>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</si>
  <si>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</si>
  <si>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</si>
  <si>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</si>
  <si>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</si>
  <si>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</si>
  <si>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</si>
  <si>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</si>
  <si>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</si>
  <si>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</si>
  <si>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</si>
  <si>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</si>
  <si>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</si>
  <si>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</si>
  <si>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</si>
  <si>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</si>
  <si>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</si>
  <si>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</si>
  <si>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</si>
  <si>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</si>
  <si>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</si>
  <si>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</si>
  <si>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</si>
  <si>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</si>
  <si>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</si>
  <si>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</si>
  <si>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</si>
  <si>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</si>
  <si>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</si>
  <si>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</si>
  <si>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</si>
  <si>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</si>
  <si>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</si>
  <si>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</si>
  <si>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</si>
  <si>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</si>
  <si>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</si>
  <si>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</si>
  <si>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</si>
  <si>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</si>
  <si>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</si>
  <si>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</si>
  <si>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</si>
  <si>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</si>
  <si>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</si>
  <si>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</si>
  <si>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</si>
  <si>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</si>
  <si>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</si>
  <si>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</si>
  <si>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</si>
  <si>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</si>
  <si>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</si>
  <si>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</si>
  <si>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</si>
  <si>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</si>
  <si>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</si>
  <si>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</si>
  <si>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</si>
  <si>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</si>
  <si>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</si>
  <si>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</si>
  <si>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</si>
  <si>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</si>
  <si>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</si>
  <si>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</si>
  <si>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</si>
  <si>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</si>
  <si>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</si>
  <si>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</si>
  <si>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</si>
  <si>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</si>
  <si>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</si>
  <si>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</si>
  <si>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</si>
  <si>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</si>
  <si>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</si>
  <si>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</si>
  <si>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</si>
  <si>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</si>
  <si>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</si>
  <si>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</si>
  <si>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</si>
  <si>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</si>
  <si>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</si>
  <si>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</si>
  <si>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</si>
  <si>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</si>
  <si>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</si>
  <si>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</si>
  <si>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</si>
  <si>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</si>
  <si>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</si>
  <si>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</si>
  <si>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</si>
  <si>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</si>
  <si>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</si>
  <si>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</si>
  <si>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</si>
  <si>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</si>
  <si>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</si>
  <si>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</si>
  <si>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</si>
  <si>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</si>
  <si>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</si>
  <si>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</si>
  <si>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</si>
  <si>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</si>
  <si>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</si>
  <si>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</si>
  <si>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</si>
  <si>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</si>
  <si>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</si>
  <si>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</si>
  <si>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</si>
  <si>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</si>
  <si>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</si>
  <si>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</si>
  <si>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</si>
  <si>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</si>
  <si>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</si>
  <si>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</si>
  <si>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</si>
  <si>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</si>
  <si>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</si>
  <si>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</si>
  <si>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</si>
  <si>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</si>
  <si>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</si>
  <si>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</si>
  <si>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</si>
  <si>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</si>
  <si>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</si>
  <si>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</si>
  <si>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</si>
  <si>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</si>
  <si>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</si>
  <si>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</si>
  <si>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</si>
  <si>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</si>
  <si>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</si>
  <si>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</si>
  <si>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</si>
  <si>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</si>
  <si>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</si>
  <si>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</si>
  <si>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</si>
  <si>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</si>
  <si>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</si>
  <si>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</si>
  <si>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</si>
  <si>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</si>
  <si>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</si>
  <si>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</si>
  <si>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</si>
  <si>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</si>
  <si>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</si>
  <si>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</si>
  <si>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</si>
  <si>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</si>
  <si>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</si>
  <si>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</si>
  <si>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</si>
  <si>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</si>
  <si>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</si>
  <si>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</si>
  <si>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</si>
  <si>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</si>
  <si>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</si>
  <si>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</si>
  <si>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</si>
  <si>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</si>
  <si>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</si>
  <si>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</si>
  <si>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</si>
  <si>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</si>
  <si>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</si>
  <si>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</si>
  <si>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</si>
  <si>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</si>
  <si>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</si>
  <si>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</si>
  <si>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</si>
  <si>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</si>
  <si>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</si>
  <si>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</si>
  <si>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</si>
  <si>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</si>
  <si>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</si>
  <si>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</si>
  <si>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</si>
  <si>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</si>
  <si>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</si>
  <si>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</si>
  <si>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</si>
  <si>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</si>
  <si>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</si>
  <si>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</si>
  <si>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</si>
  <si>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</si>
  <si>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</si>
  <si>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</si>
  <si>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</si>
  <si>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</si>
  <si>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</si>
  <si>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</si>
  <si>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</si>
  <si>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</si>
  <si>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</si>
  <si>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</si>
  <si>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</si>
  <si>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</si>
  <si>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</si>
  <si>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</si>
  <si>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</si>
  <si>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</si>
  <si>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</si>
  <si>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</si>
  <si>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</si>
  <si>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</si>
  <si>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</si>
  <si>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</si>
  <si>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</si>
  <si>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</si>
  <si>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</si>
  <si>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</si>
  <si>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</si>
  <si>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</si>
  <si>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</si>
  <si>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</si>
  <si>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</si>
  <si>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</si>
  <si>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</si>
  <si>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</si>
  <si>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</si>
  <si>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</si>
  <si>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</si>
  <si>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</si>
  <si>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</si>
  <si>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</si>
  <si>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</si>
  <si>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</si>
  <si>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</si>
  <si>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</si>
  <si>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</si>
  <si>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</si>
  <si>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</si>
  <si>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</si>
  <si>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</si>
  <si>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</si>
  <si>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</si>
  <si>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</si>
  <si>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</si>
  <si>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</si>
  <si>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</si>
  <si>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</si>
  <si>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</si>
  <si>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</si>
  <si>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</si>
  <si>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</si>
  <si>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</si>
  <si>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</si>
  <si>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</si>
  <si>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</si>
  <si>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</si>
  <si>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</si>
  <si>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</si>
  <si>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</si>
  <si>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</si>
  <si>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</si>
  <si>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</si>
  <si>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</si>
  <si>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</si>
  <si>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</si>
  <si>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</si>
  <si>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</si>
  <si>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</si>
  <si>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</si>
  <si>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</si>
  <si>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</si>
  <si>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</si>
  <si>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</si>
  <si>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</si>
  <si>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</si>
  <si>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</si>
  <si>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</si>
  <si>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</si>
  <si>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</si>
  <si>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</si>
  <si>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</si>
  <si>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</si>
  <si>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</si>
  <si>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</si>
  <si>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</si>
  <si>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</si>
  <si>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</si>
  <si>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</si>
  <si>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</si>
  <si>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</si>
  <si>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</si>
  <si>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</si>
  <si>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</si>
  <si>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</si>
  <si>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</si>
  <si>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</si>
  <si>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</si>
  <si>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</si>
  <si>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</si>
  <si>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</si>
  <si>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</si>
  <si>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</si>
  <si>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</si>
  <si>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</si>
  <si>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</si>
  <si>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</si>
  <si>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</si>
  <si>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</si>
  <si>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</si>
  <si>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</si>
  <si>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</si>
  <si>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</si>
  <si>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</si>
  <si>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</si>
  <si>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</si>
  <si>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</si>
  <si>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</si>
  <si>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</si>
  <si>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</si>
  <si>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</si>
  <si>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</si>
  <si>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</si>
  <si>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</si>
  <si>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</si>
  <si>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</si>
  <si>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</si>
  <si>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</si>
  <si>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</si>
  <si>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</si>
  <si>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</si>
  <si>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</si>
  <si>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</si>
  <si>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</si>
  <si>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</si>
  <si>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</si>
  <si>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</si>
  <si>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</si>
  <si>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</si>
  <si>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</si>
  <si>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</si>
  <si>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</si>
  <si>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</si>
  <si>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</si>
  <si>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</si>
  <si>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</si>
  <si>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</si>
  <si>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</si>
  <si>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</si>
  <si>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</si>
  <si>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</si>
  <si>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</si>
  <si>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</si>
  <si>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</si>
  <si>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</si>
  <si>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</si>
  <si>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</si>
  <si>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</si>
  <si>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</si>
  <si>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</si>
  <si>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</si>
  <si>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</si>
  <si>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</si>
  <si>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</si>
  <si>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</si>
  <si>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</si>
  <si>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</si>
  <si>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</si>
  <si>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</si>
  <si>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</si>
  <si>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</si>
  <si>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</si>
  <si>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</si>
  <si>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</si>
  <si>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</si>
  <si>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</si>
  <si>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</si>
  <si>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</si>
  <si>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</si>
  <si>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</si>
  <si>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</si>
  <si>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</si>
  <si>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</si>
  <si>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</si>
  <si>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</si>
  <si>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</si>
  <si>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</si>
  <si>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</si>
  <si>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</si>
  <si>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</si>
  <si>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</si>
  <si>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</si>
  <si>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</si>
  <si>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</si>
  <si>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</si>
  <si>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</si>
  <si>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</si>
  <si>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</si>
  <si>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</si>
  <si>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</si>
  <si>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</si>
  <si>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</si>
  <si>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</si>
  <si>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</si>
  <si>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</si>
  <si>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</si>
  <si>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</si>
  <si>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</si>
  <si>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</si>
  <si>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</si>
  <si>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</si>
  <si>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</si>
  <si>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</si>
  <si>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</si>
  <si>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</si>
  <si>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</si>
  <si>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</si>
  <si>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</si>
  <si>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</si>
  <si>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</si>
  <si>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</si>
  <si>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</si>
  <si>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</si>
  <si>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</si>
  <si>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</si>
  <si>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</si>
  <si>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</si>
  <si>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</si>
  <si>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</si>
  <si>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</si>
  <si>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</si>
  <si>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</si>
  <si>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</si>
  <si>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</si>
  <si>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</si>
  <si>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</si>
  <si>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</si>
  <si>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</si>
  <si>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</si>
  <si>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</si>
  <si>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</si>
  <si>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</si>
  <si>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</si>
  <si>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</si>
  <si>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</si>
  <si>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</si>
  <si>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</si>
  <si>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</si>
  <si>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</si>
  <si>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</si>
  <si>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</si>
  <si>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</si>
  <si>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</si>
  <si>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</si>
  <si>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</si>
  <si>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</si>
  <si>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</si>
  <si>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</si>
  <si>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</si>
  <si>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</si>
  <si>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</si>
  <si>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</si>
  <si>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</si>
  <si>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</si>
  <si>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</si>
  <si>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</si>
  <si>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</si>
  <si>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</si>
  <si>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</si>
  <si>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</si>
  <si>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</si>
  <si>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</si>
  <si>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</si>
  <si>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</si>
  <si>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</si>
  <si>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</si>
  <si>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</si>
  <si>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</si>
  <si>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</si>
  <si>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</si>
  <si>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</si>
  <si>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</si>
  <si>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</si>
  <si>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</si>
  <si>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</si>
  <si>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</si>
  <si>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</si>
  <si>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</si>
  <si>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</si>
  <si>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</si>
  <si>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</si>
  <si>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</si>
  <si>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</si>
  <si>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</si>
  <si>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</si>
  <si>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</si>
  <si>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</si>
  <si>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</si>
  <si>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</si>
  <si>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</si>
  <si>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</si>
  <si>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</si>
  <si>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</si>
  <si>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</si>
  <si>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</si>
  <si>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</si>
  <si>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</si>
  <si>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</si>
  <si>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</si>
  <si>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</si>
  <si>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</si>
  <si>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</si>
  <si>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</si>
  <si>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</si>
  <si>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</si>
  <si>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</si>
  <si>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</si>
  <si>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</si>
  <si>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</si>
  <si>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</si>
  <si>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</si>
  <si>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</si>
  <si>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</si>
  <si>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</si>
  <si>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</si>
  <si>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</si>
  <si>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</si>
  <si>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</si>
  <si>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</si>
  <si>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</si>
  <si>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</si>
  <si>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</si>
  <si>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</si>
  <si>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</si>
  <si>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</si>
  <si>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</si>
  <si>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</si>
  <si>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</si>
  <si>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</si>
  <si>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</si>
  <si>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</si>
  <si>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</si>
  <si>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</si>
  <si>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</si>
  <si>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</si>
  <si>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</si>
  <si>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</si>
  <si>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</si>
  <si>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</si>
  <si>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</si>
  <si>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</si>
  <si>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</si>
  <si>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</si>
  <si>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</si>
  <si>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</si>
  <si>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</si>
  <si>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</si>
  <si>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</si>
  <si>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</si>
  <si>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</si>
  <si>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</si>
  <si>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</si>
  <si>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</si>
  <si>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</si>
  <si>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</si>
  <si>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</si>
  <si>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</si>
  <si>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</si>
  <si>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</si>
  <si>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</si>
  <si>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</si>
  <si>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</si>
  <si>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</si>
  <si>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</si>
  <si>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</si>
  <si>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</si>
  <si>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</si>
  <si>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</si>
  <si>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</si>
  <si>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</si>
  <si>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</si>
  <si>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</si>
  <si>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</si>
  <si>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</si>
  <si>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</si>
  <si>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</si>
  <si>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</si>
  <si>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</si>
  <si>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</si>
  <si>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</si>
  <si>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</si>
  <si>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</si>
  <si>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</si>
  <si>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</si>
  <si>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</si>
  <si>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</si>
  <si>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</si>
  <si>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</si>
  <si>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</si>
  <si>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</si>
  <si>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</si>
  <si>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</si>
  <si>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</si>
  <si>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</si>
  <si>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</si>
  <si>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</si>
  <si>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</si>
  <si>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</si>
  <si>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</si>
  <si>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</si>
  <si>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</si>
  <si>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</si>
  <si>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</si>
  <si>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</si>
  <si>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</si>
  <si>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</si>
  <si>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</si>
  <si>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</si>
  <si>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</si>
  <si>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</si>
  <si>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</si>
  <si>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</si>
  <si>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</si>
  <si>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</si>
  <si>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</si>
  <si>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</si>
  <si>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</si>
  <si>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</si>
  <si>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</si>
  <si>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</si>
  <si>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</si>
  <si>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</si>
  <si>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</si>
  <si>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</si>
  <si>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</si>
  <si>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</si>
  <si>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</si>
  <si>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</si>
  <si>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</si>
  <si>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</si>
  <si>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</si>
  <si>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</si>
  <si>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</si>
  <si>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</si>
  <si>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</si>
  <si>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</si>
  <si>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</si>
  <si>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</si>
  <si>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</si>
  <si>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</si>
  <si>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</si>
  <si>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</si>
  <si>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</si>
  <si>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</si>
  <si>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</si>
  <si>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</si>
  <si>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</si>
  <si>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</si>
  <si>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</si>
  <si>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</si>
  <si>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</si>
  <si>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</si>
  <si>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</si>
  <si>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</si>
  <si>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</si>
  <si>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</si>
  <si>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</si>
  <si>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</si>
  <si>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</si>
  <si>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</si>
  <si>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</si>
  <si>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</si>
  <si>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</si>
  <si>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</si>
  <si>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</si>
  <si>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</si>
  <si>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</si>
  <si>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</si>
  <si>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</si>
  <si>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</si>
  <si>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</si>
  <si>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</si>
  <si>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</si>
  <si>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</si>
  <si>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</si>
  <si>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</si>
  <si>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</si>
  <si>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</si>
  <si>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</si>
  <si>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</si>
  <si>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</si>
  <si>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</si>
  <si>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</si>
  <si>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</si>
  <si>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</si>
  <si>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</si>
  <si>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</si>
  <si>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</si>
  <si>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</si>
  <si>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</si>
  <si>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</si>
  <si>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</si>
  <si>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</si>
  <si>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</si>
  <si>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</si>
  <si>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</si>
  <si>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</si>
  <si>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</si>
  <si>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</si>
  <si>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</si>
  <si>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</si>
  <si>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</si>
  <si>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</si>
  <si>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</si>
  <si>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</si>
  <si>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</si>
  <si>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</si>
  <si>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</si>
  <si>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</si>
  <si>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</si>
  <si>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</si>
  <si>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</si>
  <si>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</si>
  <si>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</si>
  <si>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</si>
  <si>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</si>
  <si>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</si>
  <si>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</si>
  <si>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</si>
  <si>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</si>
  <si>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</si>
  <si>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</si>
  <si>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</si>
  <si>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</si>
  <si>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</si>
  <si>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</si>
  <si>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</si>
  <si>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</si>
  <si>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</si>
  <si>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</si>
  <si>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</si>
  <si>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</si>
  <si>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</si>
  <si>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</si>
  <si>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</si>
  <si>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</si>
  <si>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</si>
  <si>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</si>
  <si>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</si>
  <si>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</si>
  <si>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</si>
  <si>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</si>
  <si>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</si>
  <si>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</si>
  <si>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</si>
  <si>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</si>
  <si>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</si>
  <si>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</si>
  <si>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</si>
  <si>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</si>
  <si>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</si>
  <si>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</si>
  <si>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</si>
  <si>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</si>
  <si>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</si>
  <si>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</si>
  <si>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</si>
  <si>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</si>
  <si>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</si>
  <si>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</si>
  <si>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</si>
  <si>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</si>
  <si>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</si>
  <si>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</si>
  <si>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</si>
  <si>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</si>
  <si>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</si>
  <si>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</si>
  <si>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</si>
  <si>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</si>
  <si>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</si>
  <si>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</si>
  <si>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</si>
  <si>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</si>
  <si>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</si>
  <si>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</si>
  <si>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</si>
  <si>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</si>
  <si>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</si>
  <si>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</si>
  <si>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</si>
  <si>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</si>
  <si>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</si>
  <si>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</si>
  <si>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</si>
  <si>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</si>
  <si>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</si>
  <si>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</si>
  <si>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</si>
  <si>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</si>
  <si>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</si>
  <si>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</si>
  <si>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</si>
  <si>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</si>
  <si>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</si>
  <si>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</si>
  <si>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</si>
  <si>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</si>
  <si>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</si>
  <si>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</si>
  <si>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</si>
  <si>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</si>
  <si>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</si>
  <si>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</si>
  <si>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</si>
  <si>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</si>
  <si>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</si>
  <si>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</si>
  <si>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</si>
  <si>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</si>
  <si>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</si>
  <si>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</si>
  <si>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</si>
  <si>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</si>
  <si>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</si>
  <si>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</si>
  <si>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</si>
  <si>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</si>
  <si>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</si>
  <si>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</si>
  <si>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</si>
  <si>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</si>
  <si>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</si>
  <si>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</si>
  <si>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</si>
  <si>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</si>
  <si>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</si>
  <si>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</si>
  <si>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</si>
  <si>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</si>
  <si>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</si>
  <si>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</si>
  <si>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</si>
  <si>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</si>
  <si>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</si>
  <si>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</si>
  <si>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</si>
  <si>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</si>
  <si>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</si>
  <si>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</si>
  <si>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</si>
  <si>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</si>
  <si>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</si>
  <si>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</si>
  <si>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</si>
  <si>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</si>
  <si>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</si>
  <si>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</si>
  <si>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</si>
  <si>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</si>
  <si>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</si>
  <si>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</si>
  <si>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</si>
  <si>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</si>
  <si>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</si>
  <si>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</si>
  <si>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</si>
  <si>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</si>
  <si>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</si>
  <si>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</si>
  <si>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</si>
  <si>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</si>
  <si>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</si>
  <si>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</si>
  <si>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</si>
  <si>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</si>
  <si>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</si>
  <si>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</si>
  <si>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</si>
  <si>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</si>
  <si>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</si>
  <si>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</si>
  <si>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</si>
  <si>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</si>
  <si>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</si>
  <si>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</si>
  <si>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</si>
  <si>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</si>
  <si>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</si>
  <si>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</si>
  <si>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</si>
  <si>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</si>
  <si>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</si>
  <si>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</si>
  <si>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</si>
  <si>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</si>
  <si>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</si>
  <si>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</si>
  <si>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</si>
  <si>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</si>
  <si>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</si>
  <si>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</si>
  <si>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</si>
  <si>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</si>
  <si>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</si>
  <si>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</si>
  <si>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</si>
  <si>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</si>
  <si>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</si>
  <si>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</si>
  <si>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</si>
  <si>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</si>
  <si>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</si>
  <si>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</si>
  <si>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</si>
  <si>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</si>
  <si>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</si>
  <si>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</si>
  <si>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</si>
  <si>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</si>
  <si>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</si>
  <si>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</si>
  <si>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</si>
  <si>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</si>
  <si>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</si>
  <si>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</si>
  <si>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</si>
  <si>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</si>
  <si>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</si>
  <si>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</si>
  <si>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</si>
  <si>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</si>
  <si>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</si>
  <si>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</si>
  <si>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</si>
  <si>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</si>
  <si>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</si>
  <si>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</si>
  <si>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</si>
  <si>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</si>
  <si>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</si>
  <si>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</si>
  <si>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</si>
  <si>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</si>
  <si>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</si>
  <si>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</si>
  <si>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</si>
  <si>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</si>
  <si>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</si>
  <si>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</si>
  <si>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</si>
  <si>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</si>
  <si>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</si>
  <si>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</si>
  <si>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</si>
  <si>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</si>
  <si>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</si>
  <si>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</si>
  <si>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</si>
  <si>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</si>
  <si>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</si>
  <si>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</si>
  <si>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</si>
  <si>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</si>
  <si>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</si>
  <si>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</si>
  <si>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</si>
  <si>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</si>
  <si>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</si>
  <si>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</si>
  <si>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</si>
  <si>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</si>
  <si>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</si>
  <si>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</si>
  <si>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</si>
  <si>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</si>
  <si>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</si>
  <si>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</si>
  <si>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</si>
  <si>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</si>
  <si>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</si>
  <si>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</si>
  <si>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</si>
  <si>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</si>
  <si>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</si>
  <si>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</si>
  <si>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</si>
  <si>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</si>
  <si>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</si>
  <si>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</si>
  <si>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</si>
  <si>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</si>
  <si>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</si>
  <si>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</si>
  <si>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</si>
  <si>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</si>
  <si>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</si>
  <si>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</si>
  <si>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</si>
  <si>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</si>
  <si>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</si>
  <si>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</si>
  <si>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</si>
  <si>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</si>
  <si>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</si>
  <si>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</si>
  <si>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</si>
  <si>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</si>
  <si>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</si>
  <si>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</si>
  <si>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</si>
  <si>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</si>
  <si>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</si>
  <si>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</si>
  <si>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</si>
  <si>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</si>
  <si>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</si>
  <si>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</si>
  <si>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</si>
  <si>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</si>
  <si>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</si>
  <si>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</si>
  <si>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</si>
  <si>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</si>
  <si>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</si>
  <si>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</si>
  <si>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</si>
  <si>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</si>
  <si>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</si>
  <si>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</si>
  <si>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</si>
  <si>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</si>
  <si>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</si>
  <si>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</si>
  <si>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</si>
  <si>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</si>
  <si>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</si>
  <si>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</si>
  <si>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</si>
  <si>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</si>
  <si>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</si>
  <si>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</si>
  <si>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</si>
  <si>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</si>
  <si>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</si>
  <si>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</si>
  <si>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</si>
  <si>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</si>
  <si>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</si>
  <si>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</si>
  <si>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</si>
  <si>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</si>
  <si>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</si>
  <si>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</si>
  <si>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</si>
  <si>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</si>
  <si>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</si>
  <si>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</si>
  <si>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</si>
  <si>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</si>
  <si>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</si>
  <si>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</si>
  <si>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</si>
  <si>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</si>
  <si>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</si>
  <si>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</si>
  <si>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</si>
  <si>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</si>
  <si>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</si>
  <si>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</si>
  <si>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</si>
  <si>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</si>
  <si>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</si>
  <si>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</si>
  <si>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</si>
  <si>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</si>
  <si>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</si>
  <si>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</si>
  <si>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</si>
  <si>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</si>
  <si>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</si>
  <si>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</si>
  <si>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</si>
  <si>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</si>
  <si>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</si>
  <si>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</si>
  <si>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</si>
  <si>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</si>
  <si>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</si>
  <si>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</si>
  <si>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</si>
  <si>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</si>
  <si>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</si>
  <si>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</si>
  <si>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</si>
  <si>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</si>
  <si>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</si>
  <si>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</si>
  <si>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</si>
  <si>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</si>
  <si>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</si>
  <si>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</si>
  <si>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</si>
  <si>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</si>
  <si>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</si>
  <si>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</si>
  <si>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</si>
  <si>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</si>
  <si>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</si>
  <si>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</si>
  <si>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</si>
  <si>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</si>
  <si>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</si>
  <si>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</si>
  <si>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</si>
  <si>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</si>
  <si>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</si>
  <si>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</si>
  <si>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</si>
  <si>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</si>
  <si>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</si>
  <si>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</si>
  <si>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</si>
  <si>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</si>
  <si>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</si>
  <si>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</si>
  <si>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</si>
  <si>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</si>
  <si>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</si>
  <si>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</si>
  <si>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</si>
  <si>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</si>
  <si>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</si>
  <si>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</si>
  <si>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</si>
  <si>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</si>
  <si>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</si>
  <si>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</si>
  <si>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</si>
  <si>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</si>
  <si>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</si>
  <si>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</si>
  <si>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</si>
  <si>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</si>
  <si>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</si>
  <si>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</si>
  <si>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</si>
  <si>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</si>
  <si>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</si>
  <si>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</si>
  <si>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</si>
  <si>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</si>
  <si>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</si>
  <si>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</si>
  <si>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</si>
  <si>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</si>
  <si>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</si>
  <si>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</si>
  <si>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</si>
  <si>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</si>
  <si>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</si>
  <si>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</si>
  <si>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</si>
  <si>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</si>
  <si>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</si>
  <si>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</si>
  <si>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</si>
  <si>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</si>
  <si>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</si>
  <si>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</si>
  <si>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</si>
  <si>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</si>
  <si>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</si>
  <si>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</si>
  <si>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</si>
  <si>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</si>
  <si>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</si>
  <si>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</si>
  <si>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</si>
  <si>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</si>
  <si>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</si>
  <si>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</si>
  <si>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</si>
  <si>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</si>
  <si>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</si>
  <si>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</si>
  <si>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</si>
  <si>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</si>
  <si>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</si>
  <si>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</si>
  <si>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</si>
  <si>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</si>
  <si>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</si>
  <si>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</si>
  <si>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</si>
  <si>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</si>
  <si>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</si>
  <si>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</si>
  <si>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</si>
  <si>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</si>
  <si>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</si>
  <si>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</si>
  <si>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</si>
  <si>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</si>
  <si>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</si>
  <si>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</si>
  <si>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</si>
  <si>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</si>
  <si>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</si>
  <si>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</si>
  <si>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</si>
  <si>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</si>
  <si>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</si>
  <si>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</si>
  <si>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</si>
  <si>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</si>
  <si>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</si>
  <si>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</si>
  <si>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</si>
  <si>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</si>
  <si>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</si>
  <si>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</si>
  <si>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</si>
  <si>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</si>
  <si>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</si>
  <si>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</si>
  <si>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</si>
  <si>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</si>
  <si>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</si>
  <si>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</si>
  <si>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</si>
  <si>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</si>
  <si>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</si>
  <si>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</si>
  <si>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</si>
  <si>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</si>
  <si>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USA Properties Fund, Inc.</t>
  </si>
  <si>
    <t>Administrative GP</t>
  </si>
  <si>
    <t>Riverside Charitable Corporation</t>
  </si>
  <si>
    <t>14131 Yorba Street, Suite 204</t>
  </si>
  <si>
    <t>Managing GP</t>
  </si>
  <si>
    <t>Tustin</t>
  </si>
  <si>
    <t>CA</t>
  </si>
  <si>
    <t>3200 Douglas Blvd., Suite 200</t>
  </si>
  <si>
    <t>Roseville</t>
  </si>
  <si>
    <t>Darren Bobrowsky</t>
  </si>
  <si>
    <t>dbobrowsky@usapropfund.com</t>
  </si>
  <si>
    <t>Sponsor</t>
  </si>
  <si>
    <t>Cohn Reznick</t>
  </si>
  <si>
    <t>400 Capitol Mall</t>
  </si>
  <si>
    <t>Sacramento, CA 95814</t>
  </si>
  <si>
    <t>Laura Wilder</t>
  </si>
  <si>
    <t>California Municipal Finance Authority</t>
  </si>
  <si>
    <t>2111 Palomar Airport Rd., Suite 320</t>
  </si>
  <si>
    <t>Carlsbad, CA  92011</t>
  </si>
  <si>
    <t>John P. Stoecker</t>
  </si>
  <si>
    <t>USA Multifamily Management, Inc.</t>
  </si>
  <si>
    <t>Roseville, CA  95661</t>
  </si>
  <si>
    <t>April Atkinson</t>
  </si>
  <si>
    <t>aatkinson@usapropfund.com</t>
  </si>
  <si>
    <t>(760) 930-1221</t>
  </si>
  <si>
    <t>(760) 683-3390</t>
  </si>
  <si>
    <t xml:space="preserve"> jstoecker@cmfa-ca.com</t>
  </si>
  <si>
    <t>Not Applicable</t>
  </si>
  <si>
    <t>USA Multi-Family Development, Inc.</t>
  </si>
  <si>
    <t>3200 Douglas Blvd, Suite 200</t>
  </si>
  <si>
    <t>Geoffrey C. Brown</t>
  </si>
  <si>
    <t>gbrown@usapropfund.com</t>
  </si>
  <si>
    <t>Roseville Housing Authority of California</t>
  </si>
  <si>
    <t>Creekview Affordable - Lot C-43</t>
  </si>
  <si>
    <t>City of Roseville</t>
  </si>
  <si>
    <t>Dominick Casey</t>
  </si>
  <si>
    <t>311 Vernon Street</t>
  </si>
  <si>
    <t>CityManager@roseville.ca.us</t>
  </si>
  <si>
    <t>017-490-025-000</t>
  </si>
  <si>
    <t>1040 Lower Bank Drive</t>
  </si>
  <si>
    <t>40%/60%</t>
  </si>
  <si>
    <t>3200 Douglas Blvd.</t>
  </si>
  <si>
    <t>Recinda Shafer</t>
  </si>
  <si>
    <t>recinda@riversidecharitable.org</t>
  </si>
  <si>
    <t>Bassenian Lagoni</t>
  </si>
  <si>
    <t>2031 Orchard Drive, Suite 100</t>
  </si>
  <si>
    <t>Newport Beach, CA 92660-0753</t>
  </si>
  <si>
    <t>Mark Kiner</t>
  </si>
  <si>
    <t>mkiner@bassenianlagoni.com</t>
  </si>
  <si>
    <t>USA Construction Management, Inc.</t>
  </si>
  <si>
    <t>Antonio Piscitello</t>
  </si>
  <si>
    <t>tpiscitello@usapropfund.com</t>
  </si>
  <si>
    <t>Bocarsly Emden Cowan Esmail &amp; Arndt LLP</t>
  </si>
  <si>
    <t>633 West Fifth Street, 64th Floor</t>
  </si>
  <si>
    <t>Los Angeles, CA  90071</t>
  </si>
  <si>
    <t>Kyle Arndt</t>
  </si>
  <si>
    <t>karndt@bocarsly.com</t>
  </si>
  <si>
    <t>WNC</t>
  </si>
  <si>
    <t>17782 Sky Park Circle</t>
  </si>
  <si>
    <t>Irvine, CA  92614</t>
  </si>
  <si>
    <t>Jessica Captanis</t>
  </si>
  <si>
    <t>Kinetic Valuation Group</t>
  </si>
  <si>
    <t>3901 S 147th Street, Suite144</t>
  </si>
  <si>
    <t>Omaha, NE 68144</t>
  </si>
  <si>
    <t>Jay A. Wortmann, MAI</t>
  </si>
  <si>
    <t>jay@kvgteam.com</t>
  </si>
  <si>
    <t>Anthem United Creekview Developments Limited Partnership, a Washington limited partnership</t>
  </si>
  <si>
    <t>Brian Moore</t>
  </si>
  <si>
    <t>Vice President</t>
  </si>
  <si>
    <t>Brian Moore and Matt Gustus</t>
  </si>
  <si>
    <t>Matt Gustus</t>
  </si>
  <si>
    <t xml:space="preserve">3001 Douglas Blvd, Suite 200 </t>
  </si>
  <si>
    <t>Roseville, CA 95661</t>
  </si>
  <si>
    <t>High Density Residential (HDR)</t>
  </si>
  <si>
    <t>Other: (Construction Inspection Fees)</t>
  </si>
  <si>
    <t>Other: (Interest Prior to Conversion)</t>
  </si>
  <si>
    <t>Other: (Development Expense)</t>
  </si>
  <si>
    <t>Recycled Bonds</t>
  </si>
  <si>
    <t>Sr. Vice President</t>
  </si>
  <si>
    <t>916-628-1654</t>
  </si>
  <si>
    <t>Jcaptanis@wncinc.com</t>
  </si>
  <si>
    <t>325 E Hillcrest Dr., Suite 160</t>
  </si>
  <si>
    <t>Mike Hemmens</t>
  </si>
  <si>
    <t>Tax-Exempt Bonds</t>
  </si>
  <si>
    <t>Permanent Loan</t>
  </si>
  <si>
    <t>Citibank, N.A.</t>
  </si>
  <si>
    <t>Other (Specify below)</t>
  </si>
  <si>
    <t>AC and Other Electric</t>
  </si>
  <si>
    <t>Deferred Costs</t>
  </si>
  <si>
    <t>WNC &amp; Associates</t>
  </si>
  <si>
    <t>Laura.Wilder@cohnreznick.com</t>
  </si>
  <si>
    <t>Recycled Tax-Exempt Bonds</t>
  </si>
  <si>
    <t>Thousand Oaks</t>
  </si>
  <si>
    <t>Irvine</t>
  </si>
  <si>
    <t>Tax Credit Equity</t>
  </si>
  <si>
    <t>Variable</t>
  </si>
  <si>
    <t>NOI during Construction</t>
  </si>
  <si>
    <t>Compliance</t>
  </si>
  <si>
    <t>Admin Fees, NSF Fees, App Fees</t>
  </si>
  <si>
    <t>Tenant Relations</t>
  </si>
  <si>
    <t>Business License and  Permits</t>
  </si>
  <si>
    <t>Tax Exempt Recycled Bonds</t>
  </si>
  <si>
    <t>Attached Housing (R3); Max Density - 116 units</t>
  </si>
  <si>
    <t>Density Bonus, development standard concessions.</t>
  </si>
  <si>
    <t>Max 55 feet, as approved</t>
  </si>
  <si>
    <t>1.31:1 under Govt Code 65915</t>
  </si>
  <si>
    <t>$500M</t>
  </si>
  <si>
    <t>February</t>
  </si>
  <si>
    <t>, 2023_ at</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</si>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</sst>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64">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66" fontId="22" fillId="5" borderId="4" xfId="0" applyNumberFormat="1" applyFont="1" applyFill="1" applyBorder="1" applyAlignment="1" applyProtection="1">
      <alignment horizontal="left"/>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0" fontId="0" fillId="0" borderId="11" xfId="0" applyBorder="1" applyAlignment="1">
      <alignment horizont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3" xfId="0" applyFont="1" applyBorder="1" applyAlignment="1">
      <alignment horizontal="left"/>
    </xf>
    <xf numFmtId="0" fontId="0" fillId="0" borderId="4" xfId="0" applyBorder="1" applyAlignment="1">
      <alignment horizontal="left"/>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0" borderId="1" xfId="0" applyFont="1" applyBorder="1" applyAlignment="1">
      <alignment horizontal="center" vertical="top" wrapText="1"/>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1"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0" fontId="22"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19" fillId="3" borderId="0" xfId="0" applyFont="1" applyFill="1" applyAlignment="1">
      <alignment horizontal="center" vertical="center"/>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3" fillId="0" borderId="0" xfId="543" applyNumberFormat="1" applyAlignment="1">
      <alignment horizontal="right"/>
    </xf>
    <xf numFmtId="0" fontId="2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11" xfId="0" applyFont="1" applyBorder="1" applyAlignment="1">
      <alignment horizontal="center" vertic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43" borderId="6" xfId="0" applyFill="1" applyBorder="1" applyAlignment="1" applyProtection="1">
      <alignment horizontal="center"/>
      <protection locked="0"/>
    </xf>
    <xf numFmtId="166" fontId="22" fillId="5" borderId="4" xfId="271"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9"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0" xfId="0" applyFont="1" applyBorder="1" applyAlignment="1">
      <alignment horizontal="center"/>
    </xf>
    <xf numFmtId="2" fontId="0" fillId="0" borderId="6" xfId="0" applyNumberFormat="1" applyBorder="1" applyAlignment="1">
      <alignment horizontal="center"/>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0" fillId="0" borderId="6" xfId="0"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0" xfId="0" applyFont="1" applyAlignment="1">
      <alignment horizontal="center" vertical="center"/>
    </xf>
    <xf numFmtId="0" fontId="22" fillId="5" borderId="6" xfId="271" applyFill="1" applyBorder="1" applyProtection="1">
      <protection locked="0"/>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4" xfId="0" applyNumberFormat="1" applyFont="1" applyFill="1" applyBorder="1" applyAlignment="1" applyProtection="1">
      <alignment horizontal="righ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6" fontId="13" fillId="5" borderId="6" xfId="0" applyNumberFormat="1" applyFon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64">
    <cellStyle name="20% - Accent1" xfId="1" builtinId="30" customBuiltin="1"/>
    <cellStyle name="20% - Accent1 10" xfId="4505" xr:uid="{00000000-0005-0000-0000-000001000000}"/>
    <cellStyle name="20% - Accent1 10 2" xfId="12944" xr:uid="{D75B3EA2-0AFE-4427-BB47-B7099A2ED284}"/>
    <cellStyle name="20% - Accent1 11" xfId="8726" xr:uid="{8241F3C8-2CB9-4BD9-BFCE-25387E9890BA}"/>
    <cellStyle name="20% - Accent1 2" xfId="2" xr:uid="{00000000-0005-0000-0000-000002000000}"/>
    <cellStyle name="20% - Accent1 2 10" xfId="8727" xr:uid="{26F8C281-1976-4398-93B4-8DFC28109898}"/>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17D0C502-87F4-4C25-B294-BE29F17D6598}"/>
    <cellStyle name="20% - Accent1 2 2 2 2 2 3" xfId="11288" xr:uid="{531BE6BC-67DB-400D-AE8F-E69BE91B4348}"/>
    <cellStyle name="20% - Accent1 2 2 2 2 3" xfId="4922" xr:uid="{00000000-0005-0000-0000-000008000000}"/>
    <cellStyle name="20% - Accent1 2 2 2 2 3 2" xfId="13361" xr:uid="{0DE08552-AD17-4986-A739-0549F6B300B3}"/>
    <cellStyle name="20% - Accent1 2 2 2 2 4" xfId="9143" xr:uid="{0E6B4E36-EA23-4906-A4F2-ACCB7132B0E9}"/>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E42824DA-9764-4DD5-8D5E-AB8250FACF55}"/>
    <cellStyle name="20% - Accent1 2 2 2 3 2 3" xfId="11701" xr:uid="{3352EAB2-6083-42FB-B2D0-7AC92050FB17}"/>
    <cellStyle name="20% - Accent1 2 2 2 3 3" xfId="5335" xr:uid="{00000000-0005-0000-0000-00000C000000}"/>
    <cellStyle name="20% - Accent1 2 2 2 3 3 2" xfId="13774" xr:uid="{EE2A6DED-D94F-436F-B120-2EEF5423D06F}"/>
    <cellStyle name="20% - Accent1 2 2 2 3 4" xfId="9556" xr:uid="{77E07833-0EDA-4A4E-8BA2-70928E4A370E}"/>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1BB9FD8C-3022-4AE0-9C0F-B5214683D0D4}"/>
    <cellStyle name="20% - Accent1 2 2 2 4 2 3" xfId="12114" xr:uid="{9D0E544C-856F-4FB6-94C0-7D35712A0153}"/>
    <cellStyle name="20% - Accent1 2 2 2 4 3" xfId="5748" xr:uid="{00000000-0005-0000-0000-000010000000}"/>
    <cellStyle name="20% - Accent1 2 2 2 4 3 2" xfId="14187" xr:uid="{7857FDAE-828A-401B-BEA7-21446E46FDC5}"/>
    <cellStyle name="20% - Accent1 2 2 2 4 4" xfId="9969" xr:uid="{EE7C9BB0-6DE9-494D-99A6-ADF8BD443D3B}"/>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EA522FBD-3326-46D5-809A-63DD3E249D79}"/>
    <cellStyle name="20% - Accent1 2 2 2 5 2 3" xfId="12527" xr:uid="{F70E671A-71D1-4550-9BB4-182145CAC9F7}"/>
    <cellStyle name="20% - Accent1 2 2 2 5 3" xfId="6161" xr:uid="{00000000-0005-0000-0000-000014000000}"/>
    <cellStyle name="20% - Accent1 2 2 2 5 3 2" xfId="14600" xr:uid="{1229FC27-5193-4FE7-9CB1-9AC6E1763878}"/>
    <cellStyle name="20% - Accent1 2 2 2 5 4" xfId="10382" xr:uid="{2004A156-A2FF-43AF-9FAF-8840FF2F6C09}"/>
    <cellStyle name="20% - Accent1 2 2 2 6" xfId="2267" xr:uid="{00000000-0005-0000-0000-000015000000}"/>
    <cellStyle name="20% - Accent1 2 2 2 6 2" xfId="6574" xr:uid="{00000000-0005-0000-0000-000016000000}"/>
    <cellStyle name="20% - Accent1 2 2 2 6 2 2" xfId="15013" xr:uid="{99A6BD78-7FAE-4685-8374-F0DC1A39B1F3}"/>
    <cellStyle name="20% - Accent1 2 2 2 6 3" xfId="10795" xr:uid="{62D46A1D-064C-47BA-B1CF-1E3AFE35241C}"/>
    <cellStyle name="20% - Accent1 2 2 2 7" xfId="4508" xr:uid="{00000000-0005-0000-0000-000017000000}"/>
    <cellStyle name="20% - Accent1 2 2 2 7 2" xfId="12947" xr:uid="{CDF63848-3E08-42FF-BDA6-6CA90BDFD888}"/>
    <cellStyle name="20% - Accent1 2 2 2 8" xfId="8729" xr:uid="{8DC6DBBB-AF98-468E-9911-477A5A1A76B2}"/>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A25627EB-E778-4259-8200-DA963CC55A62}"/>
    <cellStyle name="20% - Accent1 2 2 3 2 3" xfId="11287" xr:uid="{ABEE7FB1-D747-4FD6-949B-A16A3039C591}"/>
    <cellStyle name="20% - Accent1 2 2 3 3" xfId="4921" xr:uid="{00000000-0005-0000-0000-00001B000000}"/>
    <cellStyle name="20% - Accent1 2 2 3 3 2" xfId="13360" xr:uid="{01E6EBD0-8CD9-40F2-8749-EC785708DFE2}"/>
    <cellStyle name="20% - Accent1 2 2 3 4" xfId="9142" xr:uid="{C0CA97CA-2CF0-422A-BF87-73C93527E55C}"/>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2E538D44-93E1-4046-8F0A-D92C0FE3AE97}"/>
    <cellStyle name="20% - Accent1 2 2 4 2 3" xfId="11700" xr:uid="{94FD8D50-F82B-4225-9B7C-F96DFAAFAA76}"/>
    <cellStyle name="20% - Accent1 2 2 4 3" xfId="5334" xr:uid="{00000000-0005-0000-0000-00001F000000}"/>
    <cellStyle name="20% - Accent1 2 2 4 3 2" xfId="13773" xr:uid="{B301F1B5-7B5B-4FD9-9269-15D56A7B7C3E}"/>
    <cellStyle name="20% - Accent1 2 2 4 4" xfId="9555" xr:uid="{E4142110-6AF6-42ED-B71F-6E1AE155B8CA}"/>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BBB104AD-DAA7-429B-B095-42B3396698C0}"/>
    <cellStyle name="20% - Accent1 2 2 5 2 3" xfId="12113" xr:uid="{3BA76C72-16DC-469D-B69E-DF734814BDAC}"/>
    <cellStyle name="20% - Accent1 2 2 5 3" xfId="5747" xr:uid="{00000000-0005-0000-0000-000023000000}"/>
    <cellStyle name="20% - Accent1 2 2 5 3 2" xfId="14186" xr:uid="{F2B1ACE2-F313-4E8E-AAAE-014FF7FC0EDE}"/>
    <cellStyle name="20% - Accent1 2 2 5 4" xfId="9968" xr:uid="{3E16AB31-3972-4396-AB59-18F29C2CA00A}"/>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D7B80A79-7296-4466-B8C7-5812085F774B}"/>
    <cellStyle name="20% - Accent1 2 2 6 2 3" xfId="12526" xr:uid="{8EFD143C-DFC8-47FA-851C-0DBCB7C7320B}"/>
    <cellStyle name="20% - Accent1 2 2 6 3" xfId="6160" xr:uid="{00000000-0005-0000-0000-000027000000}"/>
    <cellStyle name="20% - Accent1 2 2 6 3 2" xfId="14599" xr:uid="{688F17B9-A8B5-4CC0-BE11-4D529CD5705F}"/>
    <cellStyle name="20% - Accent1 2 2 6 4" xfId="10381" xr:uid="{D639AC40-86B3-41F0-870C-FC807F6C52E7}"/>
    <cellStyle name="20% - Accent1 2 2 7" xfId="2266" xr:uid="{00000000-0005-0000-0000-000028000000}"/>
    <cellStyle name="20% - Accent1 2 2 7 2" xfId="6573" xr:uid="{00000000-0005-0000-0000-000029000000}"/>
    <cellStyle name="20% - Accent1 2 2 7 2 2" xfId="15012" xr:uid="{8F8EE5C6-4A9E-4D1E-88F5-35959D5E572A}"/>
    <cellStyle name="20% - Accent1 2 2 7 3" xfId="10794" xr:uid="{0010DF9B-22C9-4572-8040-D336CA4CB885}"/>
    <cellStyle name="20% - Accent1 2 2 8" xfId="4507" xr:uid="{00000000-0005-0000-0000-00002A000000}"/>
    <cellStyle name="20% - Accent1 2 2 8 2" xfId="12946" xr:uid="{A1ADDE8B-5AC8-45AB-B3BD-40BC95F5B6A2}"/>
    <cellStyle name="20% - Accent1 2 2 9" xfId="8728" xr:uid="{C9EB776B-DEC4-41F9-A965-E32923C17C76}"/>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F2BE6388-0894-4270-9038-B4775BE0C338}"/>
    <cellStyle name="20% - Accent1 2 3 2 2 3" xfId="11289" xr:uid="{F2418276-C019-4681-9795-CCE859517581}"/>
    <cellStyle name="20% - Accent1 2 3 2 3" xfId="4923" xr:uid="{00000000-0005-0000-0000-00002F000000}"/>
    <cellStyle name="20% - Accent1 2 3 2 3 2" xfId="13362" xr:uid="{7C222CAA-55A8-43ED-B446-2052EEA3F04B}"/>
    <cellStyle name="20% - Accent1 2 3 2 4" xfId="9144" xr:uid="{91BC84F5-1ED6-4615-9D74-F3A9BBF3D41C}"/>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B2938120-993C-4818-90A3-249DF7282E41}"/>
    <cellStyle name="20% - Accent1 2 3 3 2 3" xfId="11702" xr:uid="{EEAB6BD2-C957-45AE-B6B6-784FF284D82C}"/>
    <cellStyle name="20% - Accent1 2 3 3 3" xfId="5336" xr:uid="{00000000-0005-0000-0000-000033000000}"/>
    <cellStyle name="20% - Accent1 2 3 3 3 2" xfId="13775" xr:uid="{A4F38271-5A69-4E19-87C9-CEE181C8B044}"/>
    <cellStyle name="20% - Accent1 2 3 3 4" xfId="9557" xr:uid="{F4A0EE41-1FDA-4878-8739-7829B910607E}"/>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0B3E039C-BA96-48F7-9F04-2A3B9A1A8456}"/>
    <cellStyle name="20% - Accent1 2 3 4 2 3" xfId="12115" xr:uid="{693537B3-670E-4E9C-A711-885776646BA9}"/>
    <cellStyle name="20% - Accent1 2 3 4 3" xfId="5749" xr:uid="{00000000-0005-0000-0000-000037000000}"/>
    <cellStyle name="20% - Accent1 2 3 4 3 2" xfId="14188" xr:uid="{CE24A630-7F1E-43BA-BD1F-15ACEE6A7E04}"/>
    <cellStyle name="20% - Accent1 2 3 4 4" xfId="9970" xr:uid="{C71707BC-EED8-4062-ABDE-74C9FCA62ED0}"/>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86BB5DFD-BFBE-4665-9C3D-B3C4BFDB90BD}"/>
    <cellStyle name="20% - Accent1 2 3 5 2 3" xfId="12528" xr:uid="{CF8F7EE5-956A-4507-B4C9-61752C2E0D6D}"/>
    <cellStyle name="20% - Accent1 2 3 5 3" xfId="6162" xr:uid="{00000000-0005-0000-0000-00003B000000}"/>
    <cellStyle name="20% - Accent1 2 3 5 3 2" xfId="14601" xr:uid="{7F0ED0AD-F0E9-47AA-B4B0-7E801565A2BE}"/>
    <cellStyle name="20% - Accent1 2 3 5 4" xfId="10383" xr:uid="{EAB57E1D-4FA6-429E-B880-F32DECCCA83A}"/>
    <cellStyle name="20% - Accent1 2 3 6" xfId="2268" xr:uid="{00000000-0005-0000-0000-00003C000000}"/>
    <cellStyle name="20% - Accent1 2 3 6 2" xfId="6575" xr:uid="{00000000-0005-0000-0000-00003D000000}"/>
    <cellStyle name="20% - Accent1 2 3 6 2 2" xfId="15014" xr:uid="{DEEDE831-2300-4850-8636-AFDC80A50B81}"/>
    <cellStyle name="20% - Accent1 2 3 6 3" xfId="10796" xr:uid="{138684BD-EFB2-471A-A6C8-146AC7EFEEDC}"/>
    <cellStyle name="20% - Accent1 2 3 7" xfId="4509" xr:uid="{00000000-0005-0000-0000-00003E000000}"/>
    <cellStyle name="20% - Accent1 2 3 7 2" xfId="12948" xr:uid="{101AD3A9-C4F9-4202-865C-B2F77358A901}"/>
    <cellStyle name="20% - Accent1 2 3 8" xfId="8730" xr:uid="{0334B467-DB46-40E8-B931-3BD17C6FB107}"/>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918505D2-923C-40CD-8BE6-95AEEAC670DE}"/>
    <cellStyle name="20% - Accent1 2 4 2 3" xfId="11286" xr:uid="{A81D0087-870F-44CB-B97D-5C19B5330638}"/>
    <cellStyle name="20% - Accent1 2 4 3" xfId="4920" xr:uid="{00000000-0005-0000-0000-000042000000}"/>
    <cellStyle name="20% - Accent1 2 4 3 2" xfId="13359" xr:uid="{6A4338CF-73B9-41AC-85FB-53EF53267DBB}"/>
    <cellStyle name="20% - Accent1 2 4 4" xfId="9141" xr:uid="{93BB4E98-6A96-4751-9301-0D91EA6A0AAA}"/>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CD98898B-0948-44F4-BA03-B6E2CA62E79F}"/>
    <cellStyle name="20% - Accent1 2 5 2 3" xfId="11699" xr:uid="{2312FA5E-83EB-474E-B372-E71A36549494}"/>
    <cellStyle name="20% - Accent1 2 5 3" xfId="5333" xr:uid="{00000000-0005-0000-0000-000046000000}"/>
    <cellStyle name="20% - Accent1 2 5 3 2" xfId="13772" xr:uid="{6CC3870C-2F9C-462D-A75E-FAEA7049E3B8}"/>
    <cellStyle name="20% - Accent1 2 5 4" xfId="9554" xr:uid="{1EE3EEC0-C3AF-4F83-8981-22C7A1D76AD2}"/>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E1FC6870-39EE-42E5-88E4-D1B34B3E7A8D}"/>
    <cellStyle name="20% - Accent1 2 6 2 3" xfId="12112" xr:uid="{F9E816B7-4E32-48DE-AB27-E1ADF4B5AFE3}"/>
    <cellStyle name="20% - Accent1 2 6 3" xfId="5746" xr:uid="{00000000-0005-0000-0000-00004A000000}"/>
    <cellStyle name="20% - Accent1 2 6 3 2" xfId="14185" xr:uid="{F0B821D3-3679-4D1B-8594-C993DE6637B6}"/>
    <cellStyle name="20% - Accent1 2 6 4" xfId="9967" xr:uid="{CBF34C96-DFD3-4A33-84B7-24683509FAAF}"/>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733DD54A-AB89-4812-8383-956B1CEAC148}"/>
    <cellStyle name="20% - Accent1 2 7 2 3" xfId="12525" xr:uid="{CD4931FD-D61A-4669-BEF4-994E952BCB66}"/>
    <cellStyle name="20% - Accent1 2 7 3" xfId="6159" xr:uid="{00000000-0005-0000-0000-00004E000000}"/>
    <cellStyle name="20% - Accent1 2 7 3 2" xfId="14598" xr:uid="{91D5C55B-058E-4D66-80C4-28BC378F99F9}"/>
    <cellStyle name="20% - Accent1 2 7 4" xfId="10380" xr:uid="{75E59995-676F-49AA-93AD-2CE4C5557664}"/>
    <cellStyle name="20% - Accent1 2 8" xfId="2265" xr:uid="{00000000-0005-0000-0000-00004F000000}"/>
    <cellStyle name="20% - Accent1 2 8 2" xfId="6572" xr:uid="{00000000-0005-0000-0000-000050000000}"/>
    <cellStyle name="20% - Accent1 2 8 2 2" xfId="15011" xr:uid="{FC883819-FBB3-4DA2-90B9-8F9B1E373492}"/>
    <cellStyle name="20% - Accent1 2 8 3" xfId="10793" xr:uid="{73F01691-3CB2-4CF9-B089-BFF1298E8DED}"/>
    <cellStyle name="20% - Accent1 2 9" xfId="4506" xr:uid="{00000000-0005-0000-0000-000051000000}"/>
    <cellStyle name="20% - Accent1 2 9 2" xfId="12945" xr:uid="{809CA48A-A7D7-47BD-B294-4BE5A548727A}"/>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9F5D6642-CEA7-4B0C-A1B5-7555F07229EB}"/>
    <cellStyle name="20% - Accent1 3 2 2 2 3" xfId="11291" xr:uid="{994AAFA6-40AD-4B38-A683-4C981DA5C9A5}"/>
    <cellStyle name="20% - Accent1 3 2 2 3" xfId="4925" xr:uid="{00000000-0005-0000-0000-000057000000}"/>
    <cellStyle name="20% - Accent1 3 2 2 3 2" xfId="13364" xr:uid="{F78197D7-8C3C-46D6-93DB-B57F71D700B8}"/>
    <cellStyle name="20% - Accent1 3 2 2 4" xfId="9146" xr:uid="{E2DD5627-863C-460F-8555-0C7111728FC5}"/>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DDCB773D-24D2-422C-B584-1F138ABFC2E5}"/>
    <cellStyle name="20% - Accent1 3 2 3 2 3" xfId="11704" xr:uid="{D7F789EC-DF87-43E2-A747-C58003C37F74}"/>
    <cellStyle name="20% - Accent1 3 2 3 3" xfId="5338" xr:uid="{00000000-0005-0000-0000-00005B000000}"/>
    <cellStyle name="20% - Accent1 3 2 3 3 2" xfId="13777" xr:uid="{F24129CF-ED1A-404B-B217-81B37CFBDD42}"/>
    <cellStyle name="20% - Accent1 3 2 3 4" xfId="9559" xr:uid="{2F7F19EB-F51F-4DE3-AF49-97DD483ECC96}"/>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FF331801-0084-42F1-BAF4-379E8BCA5FE6}"/>
    <cellStyle name="20% - Accent1 3 2 4 2 3" xfId="12117" xr:uid="{9343D1C0-0B96-4C3F-8ECE-6E5986B46BA2}"/>
    <cellStyle name="20% - Accent1 3 2 4 3" xfId="5751" xr:uid="{00000000-0005-0000-0000-00005F000000}"/>
    <cellStyle name="20% - Accent1 3 2 4 3 2" xfId="14190" xr:uid="{7E8C3165-0BD3-4F32-9D86-7CD0785EE7B5}"/>
    <cellStyle name="20% - Accent1 3 2 4 4" xfId="9972" xr:uid="{057918BD-2539-4D3C-8DC4-DA784B494657}"/>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EA897721-A811-47BA-BABF-D10D2940AD18}"/>
    <cellStyle name="20% - Accent1 3 2 5 2 3" xfId="12530" xr:uid="{224B42B7-1FC6-47AE-9F6C-B33F7FF2159E}"/>
    <cellStyle name="20% - Accent1 3 2 5 3" xfId="6164" xr:uid="{00000000-0005-0000-0000-000063000000}"/>
    <cellStyle name="20% - Accent1 3 2 5 3 2" xfId="14603" xr:uid="{3AFAF1DA-1986-4B9B-BB22-592785EFB97A}"/>
    <cellStyle name="20% - Accent1 3 2 5 4" xfId="10385" xr:uid="{FBB2C779-4F8E-443F-A2C5-6F62B1A279FE}"/>
    <cellStyle name="20% - Accent1 3 2 6" xfId="2270" xr:uid="{00000000-0005-0000-0000-000064000000}"/>
    <cellStyle name="20% - Accent1 3 2 6 2" xfId="6577" xr:uid="{00000000-0005-0000-0000-000065000000}"/>
    <cellStyle name="20% - Accent1 3 2 6 2 2" xfId="15016" xr:uid="{432022D0-6114-411A-86B6-5508A9975379}"/>
    <cellStyle name="20% - Accent1 3 2 6 3" xfId="10798" xr:uid="{A96AED11-28A7-4E23-99BB-A4932445627E}"/>
    <cellStyle name="20% - Accent1 3 2 7" xfId="4511" xr:uid="{00000000-0005-0000-0000-000066000000}"/>
    <cellStyle name="20% - Accent1 3 2 7 2" xfId="12950" xr:uid="{7AB7DEBD-2395-4D59-B11B-80226ADD7A65}"/>
    <cellStyle name="20% - Accent1 3 2 8" xfId="8732" xr:uid="{188F60DF-1B2D-4005-A0C0-A50AA7A64951}"/>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365B50DA-E596-4A66-A397-39EDCCE98957}"/>
    <cellStyle name="20% - Accent1 3 3 2 3" xfId="11290" xr:uid="{15915E60-65E5-4513-8A88-5D076C7710F3}"/>
    <cellStyle name="20% - Accent1 3 3 3" xfId="4924" xr:uid="{00000000-0005-0000-0000-00006A000000}"/>
    <cellStyle name="20% - Accent1 3 3 3 2" xfId="13363" xr:uid="{A2ADF11A-C258-4FD9-A346-B87C0223A1E1}"/>
    <cellStyle name="20% - Accent1 3 3 4" xfId="9145" xr:uid="{C762F8A4-CBFB-465D-981E-E41CD4AF6549}"/>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51E4D49A-E636-4058-8DB3-6BEBCF8A5F96}"/>
    <cellStyle name="20% - Accent1 3 4 2 3" xfId="11703" xr:uid="{6B98CD19-60A2-4D98-AB16-94F53C831EA3}"/>
    <cellStyle name="20% - Accent1 3 4 3" xfId="5337" xr:uid="{00000000-0005-0000-0000-00006E000000}"/>
    <cellStyle name="20% - Accent1 3 4 3 2" xfId="13776" xr:uid="{FBF25D1D-06F6-45B0-AE30-E9A1F5E7F2D4}"/>
    <cellStyle name="20% - Accent1 3 4 4" xfId="9558" xr:uid="{BC3E25B4-01AB-4AA1-8445-95CE77BEB0E8}"/>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03377177-3721-4BEB-9DD0-44926FE6B6D0}"/>
    <cellStyle name="20% - Accent1 3 5 2 3" xfId="12116" xr:uid="{1B445864-FCD0-4B69-90AD-9DEB7F85E526}"/>
    <cellStyle name="20% - Accent1 3 5 3" xfId="5750" xr:uid="{00000000-0005-0000-0000-000072000000}"/>
    <cellStyle name="20% - Accent1 3 5 3 2" xfId="14189" xr:uid="{75D32A19-075E-4E12-9640-C7B5760F2204}"/>
    <cellStyle name="20% - Accent1 3 5 4" xfId="9971" xr:uid="{A5C60CB2-9585-4F1D-B906-F6C2079F4287}"/>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837BD360-C1E8-4F77-9300-0478D7E24C05}"/>
    <cellStyle name="20% - Accent1 3 6 2 3" xfId="12529" xr:uid="{F6BD749E-8193-4448-9796-CBCF2F4A821C}"/>
    <cellStyle name="20% - Accent1 3 6 3" xfId="6163" xr:uid="{00000000-0005-0000-0000-000076000000}"/>
    <cellStyle name="20% - Accent1 3 6 3 2" xfId="14602" xr:uid="{08ACA40C-0563-4054-B95F-E193D97DC73F}"/>
    <cellStyle name="20% - Accent1 3 6 4" xfId="10384" xr:uid="{3B36420A-359D-464D-ACF5-9969F6EEE041}"/>
    <cellStyle name="20% - Accent1 3 7" xfId="2269" xr:uid="{00000000-0005-0000-0000-000077000000}"/>
    <cellStyle name="20% - Accent1 3 7 2" xfId="6576" xr:uid="{00000000-0005-0000-0000-000078000000}"/>
    <cellStyle name="20% - Accent1 3 7 2 2" xfId="15015" xr:uid="{36797EC3-3192-4FE0-919F-48DB0470B098}"/>
    <cellStyle name="20% - Accent1 3 7 3" xfId="10797" xr:uid="{2FA3D6AB-16BC-4D41-A0BB-7750280FC3B4}"/>
    <cellStyle name="20% - Accent1 3 8" xfId="4510" xr:uid="{00000000-0005-0000-0000-000079000000}"/>
    <cellStyle name="20% - Accent1 3 8 2" xfId="12949" xr:uid="{11F643B3-F9E0-4D2D-8743-B1BBE08F5577}"/>
    <cellStyle name="20% - Accent1 3 9" xfId="8731" xr:uid="{0F98837E-F749-46BE-A0CF-F3582237FF15}"/>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7DEE3DF5-266F-464F-94AF-84B439E6D6C4}"/>
    <cellStyle name="20% - Accent1 4 2 2 3" xfId="11292" xr:uid="{17329FB3-3804-4635-A165-59B27593C03E}"/>
    <cellStyle name="20% - Accent1 4 2 3" xfId="4926" xr:uid="{00000000-0005-0000-0000-00007E000000}"/>
    <cellStyle name="20% - Accent1 4 2 3 2" xfId="13365" xr:uid="{AF940D55-0B05-477D-803F-813E99795322}"/>
    <cellStyle name="20% - Accent1 4 2 4" xfId="9147" xr:uid="{BF95F770-6A32-424E-B26B-DDBAC53B9D83}"/>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C74E1DE4-61F0-4E4D-AD55-C2498C1B5C19}"/>
    <cellStyle name="20% - Accent1 4 3 2 3" xfId="11705" xr:uid="{BB1ED22A-6A74-4874-A058-C4D8B3754BEC}"/>
    <cellStyle name="20% - Accent1 4 3 3" xfId="5339" xr:uid="{00000000-0005-0000-0000-000082000000}"/>
    <cellStyle name="20% - Accent1 4 3 3 2" xfId="13778" xr:uid="{BF80CEA0-C90D-4B8E-AEE5-74584E7A4C43}"/>
    <cellStyle name="20% - Accent1 4 3 4" xfId="9560" xr:uid="{387C1350-E669-4658-AC0F-70CA6C167CC2}"/>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3D852E22-09BF-4578-91EF-E90F96739262}"/>
    <cellStyle name="20% - Accent1 4 4 2 3" xfId="12118" xr:uid="{8583846F-3610-490B-8EC2-D7EB9C49B6C7}"/>
    <cellStyle name="20% - Accent1 4 4 3" xfId="5752" xr:uid="{00000000-0005-0000-0000-000086000000}"/>
    <cellStyle name="20% - Accent1 4 4 3 2" xfId="14191" xr:uid="{1774DE28-00B0-4210-9A4A-9D477236B160}"/>
    <cellStyle name="20% - Accent1 4 4 4" xfId="9973" xr:uid="{3B2BCBE7-C7C1-4EB6-8A86-42B0080BECCD}"/>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641EC379-27CC-448B-9496-F9B3A28FC509}"/>
    <cellStyle name="20% - Accent1 4 5 2 3" xfId="12531" xr:uid="{AD9A7C3D-3D56-42F8-930D-ECD97F742AAE}"/>
    <cellStyle name="20% - Accent1 4 5 3" xfId="6165" xr:uid="{00000000-0005-0000-0000-00008A000000}"/>
    <cellStyle name="20% - Accent1 4 5 3 2" xfId="14604" xr:uid="{31F521F1-42D0-475C-99BC-D27E0BE86F2C}"/>
    <cellStyle name="20% - Accent1 4 5 4" xfId="10386" xr:uid="{E89515FC-0807-4FE6-A4D8-892583F75E1D}"/>
    <cellStyle name="20% - Accent1 4 6" xfId="2271" xr:uid="{00000000-0005-0000-0000-00008B000000}"/>
    <cellStyle name="20% - Accent1 4 6 2" xfId="6578" xr:uid="{00000000-0005-0000-0000-00008C000000}"/>
    <cellStyle name="20% - Accent1 4 6 2 2" xfId="15017" xr:uid="{66C3AAD7-F989-4261-9634-FCFA6DF4E243}"/>
    <cellStyle name="20% - Accent1 4 6 3" xfId="10799" xr:uid="{8ABAF302-505F-42B8-95D1-C99A3E89C551}"/>
    <cellStyle name="20% - Accent1 4 7" xfId="4512" xr:uid="{00000000-0005-0000-0000-00008D000000}"/>
    <cellStyle name="20% - Accent1 4 7 2" xfId="12951" xr:uid="{ECBED493-14B0-4EAD-92B0-6C7486C8833C}"/>
    <cellStyle name="20% - Accent1 4 8" xfId="8733" xr:uid="{37A1C7F1-5A41-4EBD-B1FA-3204C3C098D5}"/>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BDDC0CE1-3A84-4447-9BD5-CC9DF31045E9}"/>
    <cellStyle name="20% - Accent1 5 2 3" xfId="11285" xr:uid="{78D51AF0-ED37-453F-B6B8-DD579BF8D358}"/>
    <cellStyle name="20% - Accent1 5 3" xfId="4919" xr:uid="{00000000-0005-0000-0000-000091000000}"/>
    <cellStyle name="20% - Accent1 5 3 2" xfId="13358" xr:uid="{2767A067-E41F-4B69-B3B8-4E1F98BEDBB3}"/>
    <cellStyle name="20% - Accent1 5 4" xfId="9140" xr:uid="{A8CE67C8-CBDA-4849-988D-309033CAD2A6}"/>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7A867A7A-639F-4D26-896E-8F9BB7C4AEAD}"/>
    <cellStyle name="20% - Accent1 6 2 3" xfId="11698" xr:uid="{64806FD6-72C0-45D9-9E00-29626C29C85B}"/>
    <cellStyle name="20% - Accent1 6 3" xfId="5332" xr:uid="{00000000-0005-0000-0000-000095000000}"/>
    <cellStyle name="20% - Accent1 6 3 2" xfId="13771" xr:uid="{7D236487-E66D-4C74-B740-47A52A191E65}"/>
    <cellStyle name="20% - Accent1 6 4" xfId="9553" xr:uid="{F58CF8D7-79C2-45DF-87EE-83A11284C993}"/>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7C128588-DFCE-4378-836A-44B71A896112}"/>
    <cellStyle name="20% - Accent1 7 2 3" xfId="12111" xr:uid="{454D50A9-78E1-4F42-9E02-DAAE2056749B}"/>
    <cellStyle name="20% - Accent1 7 3" xfId="5745" xr:uid="{00000000-0005-0000-0000-000099000000}"/>
    <cellStyle name="20% - Accent1 7 3 2" xfId="14184" xr:uid="{4C91C270-A389-46F7-95E2-A0D4A560A920}"/>
    <cellStyle name="20% - Accent1 7 4" xfId="9966" xr:uid="{0287691F-4BAA-4158-9C20-0A6268173979}"/>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05446C92-4807-4676-B3F4-DE440F292CF4}"/>
    <cellStyle name="20% - Accent1 8 2 3" xfId="12524" xr:uid="{15D92CD2-B5DF-4F09-A52B-81B85B448003}"/>
    <cellStyle name="20% - Accent1 8 3" xfId="6158" xr:uid="{00000000-0005-0000-0000-00009D000000}"/>
    <cellStyle name="20% - Accent1 8 3 2" xfId="14597" xr:uid="{E7CC4709-938F-4887-92AC-CD81F85AD2B9}"/>
    <cellStyle name="20% - Accent1 8 4" xfId="10379" xr:uid="{0E3A9EC3-F165-4216-B986-60840D61FF7B}"/>
    <cellStyle name="20% - Accent1 9" xfId="2264" xr:uid="{00000000-0005-0000-0000-00009E000000}"/>
    <cellStyle name="20% - Accent1 9 2" xfId="6571" xr:uid="{00000000-0005-0000-0000-00009F000000}"/>
    <cellStyle name="20% - Accent1 9 2 2" xfId="15010" xr:uid="{03B56F54-2215-4662-827E-83D547E2D8D0}"/>
    <cellStyle name="20% - Accent1 9 3" xfId="10792" xr:uid="{F5B29C74-251E-4A50-AB07-9BD7C289131F}"/>
    <cellStyle name="20% - Accent2" xfId="9" builtinId="34" customBuiltin="1"/>
    <cellStyle name="20% - Accent2 10" xfId="4513" xr:uid="{00000000-0005-0000-0000-0000A1000000}"/>
    <cellStyle name="20% - Accent2 10 2" xfId="12952" xr:uid="{D9E6E0D4-1397-4802-B794-FC9B892AFC4F}"/>
    <cellStyle name="20% - Accent2 11" xfId="8734" xr:uid="{3F207E55-22D7-4855-8832-56580F57152E}"/>
    <cellStyle name="20% - Accent2 2" xfId="10" xr:uid="{00000000-0005-0000-0000-0000A2000000}"/>
    <cellStyle name="20% - Accent2 2 10" xfId="8735" xr:uid="{2BB45106-6B16-4B71-9589-BFF61C836ADE}"/>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3B143A50-E3E4-4843-812A-74536C421E0A}"/>
    <cellStyle name="20% - Accent2 2 2 2 2 2 3" xfId="11296" xr:uid="{BE3D7039-EB6F-4FCD-8C0F-6528946CDD3A}"/>
    <cellStyle name="20% - Accent2 2 2 2 2 3" xfId="4930" xr:uid="{00000000-0005-0000-0000-0000A8000000}"/>
    <cellStyle name="20% - Accent2 2 2 2 2 3 2" xfId="13369" xr:uid="{F8D306DB-222E-43CD-9B04-639D4B0989B7}"/>
    <cellStyle name="20% - Accent2 2 2 2 2 4" xfId="9151" xr:uid="{02E99666-883D-40B5-B9B6-3D55066E6E4E}"/>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E76B99AE-4ED0-48CF-A430-75113C49CE77}"/>
    <cellStyle name="20% - Accent2 2 2 2 3 2 3" xfId="11709" xr:uid="{84C017A1-D030-4086-BEE2-D02FE9090D7E}"/>
    <cellStyle name="20% - Accent2 2 2 2 3 3" xfId="5343" xr:uid="{00000000-0005-0000-0000-0000AC000000}"/>
    <cellStyle name="20% - Accent2 2 2 2 3 3 2" xfId="13782" xr:uid="{5E053537-58D6-44EE-9576-E7D149EC06A4}"/>
    <cellStyle name="20% - Accent2 2 2 2 3 4" xfId="9564" xr:uid="{F2BB07AC-4ACD-484C-B008-6DBE5301FFF2}"/>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BB789E1D-6355-40E9-8284-87B894A1EF20}"/>
    <cellStyle name="20% - Accent2 2 2 2 4 2 3" xfId="12122" xr:uid="{9C96B35E-48CE-4B6A-9E48-D92879CA278C}"/>
    <cellStyle name="20% - Accent2 2 2 2 4 3" xfId="5756" xr:uid="{00000000-0005-0000-0000-0000B0000000}"/>
    <cellStyle name="20% - Accent2 2 2 2 4 3 2" xfId="14195" xr:uid="{AAE490E7-F6EF-47AD-8241-BE27A598E126}"/>
    <cellStyle name="20% - Accent2 2 2 2 4 4" xfId="9977" xr:uid="{C4176666-6C63-4A19-9C6B-DE204B4DAE24}"/>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6696B85A-577C-40FC-BB2D-9FC5A659B0E8}"/>
    <cellStyle name="20% - Accent2 2 2 2 5 2 3" xfId="12535" xr:uid="{3D6D30F6-FB1D-4E6E-9F6B-07EC45858242}"/>
    <cellStyle name="20% - Accent2 2 2 2 5 3" xfId="6169" xr:uid="{00000000-0005-0000-0000-0000B4000000}"/>
    <cellStyle name="20% - Accent2 2 2 2 5 3 2" xfId="14608" xr:uid="{416EFEBB-9E4E-42A6-8B11-42236AE429AB}"/>
    <cellStyle name="20% - Accent2 2 2 2 5 4" xfId="10390" xr:uid="{CC5EFC97-7A4D-4B45-8FE0-CE32CD50A222}"/>
    <cellStyle name="20% - Accent2 2 2 2 6" xfId="2275" xr:uid="{00000000-0005-0000-0000-0000B5000000}"/>
    <cellStyle name="20% - Accent2 2 2 2 6 2" xfId="6582" xr:uid="{00000000-0005-0000-0000-0000B6000000}"/>
    <cellStyle name="20% - Accent2 2 2 2 6 2 2" xfId="15021" xr:uid="{52E86274-7226-4156-92AF-21C383F267A3}"/>
    <cellStyle name="20% - Accent2 2 2 2 6 3" xfId="10803" xr:uid="{9EAFBC6F-A4DB-4DCB-91CE-53AFA200028C}"/>
    <cellStyle name="20% - Accent2 2 2 2 7" xfId="4516" xr:uid="{00000000-0005-0000-0000-0000B7000000}"/>
    <cellStyle name="20% - Accent2 2 2 2 7 2" xfId="12955" xr:uid="{ACB93F3B-5B57-47A7-A63B-DA9AC7979C11}"/>
    <cellStyle name="20% - Accent2 2 2 2 8" xfId="8737" xr:uid="{DDBE262F-9BED-4CBC-AD73-3D3AADDBBEC2}"/>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60D85EFF-9391-4069-882D-5DEF46A6BD98}"/>
    <cellStyle name="20% - Accent2 2 2 3 2 3" xfId="11295" xr:uid="{A4CCBD6B-02FE-438E-BFC4-E91D37FD0A26}"/>
    <cellStyle name="20% - Accent2 2 2 3 3" xfId="4929" xr:uid="{00000000-0005-0000-0000-0000BB000000}"/>
    <cellStyle name="20% - Accent2 2 2 3 3 2" xfId="13368" xr:uid="{F4E0DF25-4E7B-487B-87F6-73F3CA028D4B}"/>
    <cellStyle name="20% - Accent2 2 2 3 4" xfId="9150" xr:uid="{4064F5D0-1602-4ECA-8911-4EDC1BCD8713}"/>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1CDA99CD-6854-40B3-90A0-108068B9B0F8}"/>
    <cellStyle name="20% - Accent2 2 2 4 2 3" xfId="11708" xr:uid="{509CC886-0E98-4B54-8642-7962E2A8C683}"/>
    <cellStyle name="20% - Accent2 2 2 4 3" xfId="5342" xr:uid="{00000000-0005-0000-0000-0000BF000000}"/>
    <cellStyle name="20% - Accent2 2 2 4 3 2" xfId="13781" xr:uid="{13C92835-C4FB-4D30-B8D6-FB9F4C4CF7D8}"/>
    <cellStyle name="20% - Accent2 2 2 4 4" xfId="9563" xr:uid="{49F38886-32F8-4304-9B7D-97C5F310964A}"/>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521CEA98-5322-4961-BBBF-FA5F87B4A850}"/>
    <cellStyle name="20% - Accent2 2 2 5 2 3" xfId="12121" xr:uid="{42FAB7CB-F471-432A-8783-12F245E9A129}"/>
    <cellStyle name="20% - Accent2 2 2 5 3" xfId="5755" xr:uid="{00000000-0005-0000-0000-0000C3000000}"/>
    <cellStyle name="20% - Accent2 2 2 5 3 2" xfId="14194" xr:uid="{3D9E2ED2-15A5-4C26-AFC3-5206B901626E}"/>
    <cellStyle name="20% - Accent2 2 2 5 4" xfId="9976" xr:uid="{7F05DD59-7674-4B72-A975-31251CB0480D}"/>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167FEADD-C9B6-4522-AD97-26DDFC4EDCC4}"/>
    <cellStyle name="20% - Accent2 2 2 6 2 3" xfId="12534" xr:uid="{E6496F87-EA25-44BF-9313-25A8A13D7631}"/>
    <cellStyle name="20% - Accent2 2 2 6 3" xfId="6168" xr:uid="{00000000-0005-0000-0000-0000C7000000}"/>
    <cellStyle name="20% - Accent2 2 2 6 3 2" xfId="14607" xr:uid="{D2CBE793-7805-40F0-AEB4-6A1E3DAA4FD9}"/>
    <cellStyle name="20% - Accent2 2 2 6 4" xfId="10389" xr:uid="{B9759C73-DE24-4F65-829E-824AA89BBF7C}"/>
    <cellStyle name="20% - Accent2 2 2 7" xfId="2274" xr:uid="{00000000-0005-0000-0000-0000C8000000}"/>
    <cellStyle name="20% - Accent2 2 2 7 2" xfId="6581" xr:uid="{00000000-0005-0000-0000-0000C9000000}"/>
    <cellStyle name="20% - Accent2 2 2 7 2 2" xfId="15020" xr:uid="{1F41CB81-DB77-4343-BA33-054153BA8A09}"/>
    <cellStyle name="20% - Accent2 2 2 7 3" xfId="10802" xr:uid="{EB7194AF-85D5-4F1F-9C66-2DA1F3E9B811}"/>
    <cellStyle name="20% - Accent2 2 2 8" xfId="4515" xr:uid="{00000000-0005-0000-0000-0000CA000000}"/>
    <cellStyle name="20% - Accent2 2 2 8 2" xfId="12954" xr:uid="{1DE808A4-9B78-486B-84EF-4712F2A0D5A1}"/>
    <cellStyle name="20% - Accent2 2 2 9" xfId="8736" xr:uid="{E60C214E-B593-445C-ADC7-1A14F21316DA}"/>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44DDC731-1473-4B8F-ABE4-C980E7718C39}"/>
    <cellStyle name="20% - Accent2 2 3 2 2 3" xfId="11297" xr:uid="{FD317384-D10C-45CA-92E8-02473B2995BE}"/>
    <cellStyle name="20% - Accent2 2 3 2 3" xfId="4931" xr:uid="{00000000-0005-0000-0000-0000CF000000}"/>
    <cellStyle name="20% - Accent2 2 3 2 3 2" xfId="13370" xr:uid="{89D8D0E9-3E02-4098-BA03-3DAD679EE2A2}"/>
    <cellStyle name="20% - Accent2 2 3 2 4" xfId="9152" xr:uid="{EEAFA1B7-D699-4EC4-9BCE-2503D9C5F12A}"/>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010C615F-094A-4C2E-B333-3A762CF64547}"/>
    <cellStyle name="20% - Accent2 2 3 3 2 3" xfId="11710" xr:uid="{E8670FED-7B6C-424D-81C6-D2A617F7DF4E}"/>
    <cellStyle name="20% - Accent2 2 3 3 3" xfId="5344" xr:uid="{00000000-0005-0000-0000-0000D3000000}"/>
    <cellStyle name="20% - Accent2 2 3 3 3 2" xfId="13783" xr:uid="{E65283A5-5A53-405F-A54B-4E118DA78EFE}"/>
    <cellStyle name="20% - Accent2 2 3 3 4" xfId="9565" xr:uid="{A5CD2F7A-BEBB-49E8-AE0E-A759E4EF59D5}"/>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11963479-90DE-4ADB-A1C6-CF3182429BD5}"/>
    <cellStyle name="20% - Accent2 2 3 4 2 3" xfId="12123" xr:uid="{BDDBF14C-E466-48B4-8D74-ABF3AB5D7090}"/>
    <cellStyle name="20% - Accent2 2 3 4 3" xfId="5757" xr:uid="{00000000-0005-0000-0000-0000D7000000}"/>
    <cellStyle name="20% - Accent2 2 3 4 3 2" xfId="14196" xr:uid="{2E727AA4-6161-471A-8571-BE87FC635279}"/>
    <cellStyle name="20% - Accent2 2 3 4 4" xfId="9978" xr:uid="{DDE4D063-2A72-4E57-9881-16CB872F093F}"/>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1AE85CA7-2227-4EB5-8119-CE87A2559E28}"/>
    <cellStyle name="20% - Accent2 2 3 5 2 3" xfId="12536" xr:uid="{100AD024-B48A-49B1-8D8D-DD625801B1F6}"/>
    <cellStyle name="20% - Accent2 2 3 5 3" xfId="6170" xr:uid="{00000000-0005-0000-0000-0000DB000000}"/>
    <cellStyle name="20% - Accent2 2 3 5 3 2" xfId="14609" xr:uid="{74DFDD42-8490-4902-B7C8-9EB4E9887FE7}"/>
    <cellStyle name="20% - Accent2 2 3 5 4" xfId="10391" xr:uid="{F9D0BA9B-4A3B-4566-BB72-55EE82902E42}"/>
    <cellStyle name="20% - Accent2 2 3 6" xfId="2276" xr:uid="{00000000-0005-0000-0000-0000DC000000}"/>
    <cellStyle name="20% - Accent2 2 3 6 2" xfId="6583" xr:uid="{00000000-0005-0000-0000-0000DD000000}"/>
    <cellStyle name="20% - Accent2 2 3 6 2 2" xfId="15022" xr:uid="{F92EF13B-8D02-4425-8E59-062CFCDAFD38}"/>
    <cellStyle name="20% - Accent2 2 3 6 3" xfId="10804" xr:uid="{279DC58D-A630-4ABF-99A9-07C6B4DA4B43}"/>
    <cellStyle name="20% - Accent2 2 3 7" xfId="4517" xr:uid="{00000000-0005-0000-0000-0000DE000000}"/>
    <cellStyle name="20% - Accent2 2 3 7 2" xfId="12956" xr:uid="{0D997C15-7687-4038-8693-D47730AC2AB4}"/>
    <cellStyle name="20% - Accent2 2 3 8" xfId="8738" xr:uid="{85D2DBD8-D6F4-4483-BC61-1AA22C283B27}"/>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31CFEE86-FF21-46B9-97B7-11734A797D59}"/>
    <cellStyle name="20% - Accent2 2 4 2 3" xfId="11294" xr:uid="{C0D521FB-CBC1-48A9-8925-3577268E36FB}"/>
    <cellStyle name="20% - Accent2 2 4 3" xfId="4928" xr:uid="{00000000-0005-0000-0000-0000E2000000}"/>
    <cellStyle name="20% - Accent2 2 4 3 2" xfId="13367" xr:uid="{80C734D2-942E-4FB9-8638-4FAC1BA7D77E}"/>
    <cellStyle name="20% - Accent2 2 4 4" xfId="9149" xr:uid="{C794906F-7C5B-4084-9F79-5DB676865B5F}"/>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4412C18F-5C26-462C-B693-55AD44D091D3}"/>
    <cellStyle name="20% - Accent2 2 5 2 3" xfId="11707" xr:uid="{06C2C216-EDEC-4689-95D1-8D562AB914D0}"/>
    <cellStyle name="20% - Accent2 2 5 3" xfId="5341" xr:uid="{00000000-0005-0000-0000-0000E6000000}"/>
    <cellStyle name="20% - Accent2 2 5 3 2" xfId="13780" xr:uid="{62753213-CA6A-4F19-80CD-12954F842703}"/>
    <cellStyle name="20% - Accent2 2 5 4" xfId="9562" xr:uid="{DC8B751F-D209-4226-9E07-83535F9B54AD}"/>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30F319B3-F215-46D0-AD35-E088DA7E2CB3}"/>
    <cellStyle name="20% - Accent2 2 6 2 3" xfId="12120" xr:uid="{2B7CCF5C-33D4-4C29-B63F-8B22195D283F}"/>
    <cellStyle name="20% - Accent2 2 6 3" xfId="5754" xr:uid="{00000000-0005-0000-0000-0000EA000000}"/>
    <cellStyle name="20% - Accent2 2 6 3 2" xfId="14193" xr:uid="{6AC9B23B-98DC-4DFD-BA78-38E269E6F142}"/>
    <cellStyle name="20% - Accent2 2 6 4" xfId="9975" xr:uid="{AE14D158-FCF4-4054-BC6B-5CE1ABA70150}"/>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D9B296E6-8762-49E8-85ED-873588716FD6}"/>
    <cellStyle name="20% - Accent2 2 7 2 3" xfId="12533" xr:uid="{AD3E4E9C-CD47-4D83-97D0-6BA67E05974C}"/>
    <cellStyle name="20% - Accent2 2 7 3" xfId="6167" xr:uid="{00000000-0005-0000-0000-0000EE000000}"/>
    <cellStyle name="20% - Accent2 2 7 3 2" xfId="14606" xr:uid="{E48A31B3-DA08-480F-B639-9F288C5A33B0}"/>
    <cellStyle name="20% - Accent2 2 7 4" xfId="10388" xr:uid="{151F1D14-E9B4-4D5A-BB5A-33F99FF3B4B6}"/>
    <cellStyle name="20% - Accent2 2 8" xfId="2273" xr:uid="{00000000-0005-0000-0000-0000EF000000}"/>
    <cellStyle name="20% - Accent2 2 8 2" xfId="6580" xr:uid="{00000000-0005-0000-0000-0000F0000000}"/>
    <cellStyle name="20% - Accent2 2 8 2 2" xfId="15019" xr:uid="{F0F9405D-3EC0-4706-8725-FEE40F8DDC44}"/>
    <cellStyle name="20% - Accent2 2 8 3" xfId="10801" xr:uid="{D25F2EA4-1979-45D0-8430-59E4B0E3472B}"/>
    <cellStyle name="20% - Accent2 2 9" xfId="4514" xr:uid="{00000000-0005-0000-0000-0000F1000000}"/>
    <cellStyle name="20% - Accent2 2 9 2" xfId="12953" xr:uid="{37D4FA14-1B38-4B98-BFBE-DAD875402D04}"/>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D3F9CAF5-BC84-41D6-8BC7-E693CECA787A}"/>
    <cellStyle name="20% - Accent2 3 2 2 2 3" xfId="11299" xr:uid="{FBA0CE48-A723-47A0-8C81-42A5659BDD71}"/>
    <cellStyle name="20% - Accent2 3 2 2 3" xfId="4933" xr:uid="{00000000-0005-0000-0000-0000F7000000}"/>
    <cellStyle name="20% - Accent2 3 2 2 3 2" xfId="13372" xr:uid="{EC6F4A36-6318-49B5-8F56-632B7455DDC5}"/>
    <cellStyle name="20% - Accent2 3 2 2 4" xfId="9154" xr:uid="{DABDAC1D-E776-4B3B-B09E-590DEAFC5DD3}"/>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13C94F9B-EAE3-4E09-A867-E988F032A761}"/>
    <cellStyle name="20% - Accent2 3 2 3 2 3" xfId="11712" xr:uid="{17134AD6-32A4-41F8-BB0C-E03FF39E115C}"/>
    <cellStyle name="20% - Accent2 3 2 3 3" xfId="5346" xr:uid="{00000000-0005-0000-0000-0000FB000000}"/>
    <cellStyle name="20% - Accent2 3 2 3 3 2" xfId="13785" xr:uid="{672B8F40-4431-494E-BF26-D05120AF01CE}"/>
    <cellStyle name="20% - Accent2 3 2 3 4" xfId="9567" xr:uid="{7FE149E1-0C4B-462B-BAA3-801903F7DA74}"/>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82392213-CB1D-4B11-A366-F141E5F07EA0}"/>
    <cellStyle name="20% - Accent2 3 2 4 2 3" xfId="12125" xr:uid="{248351ED-1B75-4982-8DEC-C6388F37D235}"/>
    <cellStyle name="20% - Accent2 3 2 4 3" xfId="5759" xr:uid="{00000000-0005-0000-0000-0000FF000000}"/>
    <cellStyle name="20% - Accent2 3 2 4 3 2" xfId="14198" xr:uid="{8F086DC5-78BF-4054-8A23-A38199F5C9D1}"/>
    <cellStyle name="20% - Accent2 3 2 4 4" xfId="9980" xr:uid="{FEEE7593-0445-4208-BC14-B0F73AEB7CCB}"/>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66E2589C-D456-4DEE-B144-E07716184305}"/>
    <cellStyle name="20% - Accent2 3 2 5 2 3" xfId="12538" xr:uid="{6BD1E61A-EC9A-41A2-9468-23030F80C699}"/>
    <cellStyle name="20% - Accent2 3 2 5 3" xfId="6172" xr:uid="{00000000-0005-0000-0000-000003010000}"/>
    <cellStyle name="20% - Accent2 3 2 5 3 2" xfId="14611" xr:uid="{AC2A9F98-0B03-493E-884C-86A72A9AD313}"/>
    <cellStyle name="20% - Accent2 3 2 5 4" xfId="10393" xr:uid="{AE240199-EA9B-4BE5-A287-A52DAB098DF1}"/>
    <cellStyle name="20% - Accent2 3 2 6" xfId="2278" xr:uid="{00000000-0005-0000-0000-000004010000}"/>
    <cellStyle name="20% - Accent2 3 2 6 2" xfId="6585" xr:uid="{00000000-0005-0000-0000-000005010000}"/>
    <cellStyle name="20% - Accent2 3 2 6 2 2" xfId="15024" xr:uid="{F374A20F-496F-4A91-AC41-23883C817F31}"/>
    <cellStyle name="20% - Accent2 3 2 6 3" xfId="10806" xr:uid="{98283919-5FEA-4C7C-ADF0-C27EF022BC11}"/>
    <cellStyle name="20% - Accent2 3 2 7" xfId="4519" xr:uid="{00000000-0005-0000-0000-000006010000}"/>
    <cellStyle name="20% - Accent2 3 2 7 2" xfId="12958" xr:uid="{32F75A0F-44DC-4551-AC4F-580FA26EFF10}"/>
    <cellStyle name="20% - Accent2 3 2 8" xfId="8740" xr:uid="{FE854C6C-C2F4-4E27-98DD-A4F1A1042F80}"/>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654E5FEA-521D-4EEA-9827-FFC21D0D8EB3}"/>
    <cellStyle name="20% - Accent2 3 3 2 3" xfId="11298" xr:uid="{ACC6D95D-32A6-4F46-853D-9D151DEA5562}"/>
    <cellStyle name="20% - Accent2 3 3 3" xfId="4932" xr:uid="{00000000-0005-0000-0000-00000A010000}"/>
    <cellStyle name="20% - Accent2 3 3 3 2" xfId="13371" xr:uid="{BAB966C6-EF27-4566-98EC-7AE239521AAB}"/>
    <cellStyle name="20% - Accent2 3 3 4" xfId="9153" xr:uid="{A80AEE9D-8759-4F07-A6B0-B9B1A0B924F8}"/>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838A04A6-E789-4CF6-9C19-C06F21297F01}"/>
    <cellStyle name="20% - Accent2 3 4 2 3" xfId="11711" xr:uid="{E6043A16-8DC9-4BF1-B61E-EE38B29041DA}"/>
    <cellStyle name="20% - Accent2 3 4 3" xfId="5345" xr:uid="{00000000-0005-0000-0000-00000E010000}"/>
    <cellStyle name="20% - Accent2 3 4 3 2" xfId="13784" xr:uid="{95B75F5F-1EA2-4421-A747-6150F6C058C0}"/>
    <cellStyle name="20% - Accent2 3 4 4" xfId="9566" xr:uid="{228470E1-ED52-4E61-A905-CDEB5F62106E}"/>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908389C4-9F7D-438D-A35A-5703AFBEF7C6}"/>
    <cellStyle name="20% - Accent2 3 5 2 3" xfId="12124" xr:uid="{585725DC-DFF9-4E19-A30C-19661F2D43D9}"/>
    <cellStyle name="20% - Accent2 3 5 3" xfId="5758" xr:uid="{00000000-0005-0000-0000-000012010000}"/>
    <cellStyle name="20% - Accent2 3 5 3 2" xfId="14197" xr:uid="{F7478B66-6EF2-43ED-A19E-F0F01A641D78}"/>
    <cellStyle name="20% - Accent2 3 5 4" xfId="9979" xr:uid="{A7B9343F-AA93-42AF-A6AC-27604393E2BA}"/>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9B593230-54D6-4105-BBCF-58CAABB90A8C}"/>
    <cellStyle name="20% - Accent2 3 6 2 3" xfId="12537" xr:uid="{A7123B70-7E9F-4B91-8117-DBEC83EC7B1F}"/>
    <cellStyle name="20% - Accent2 3 6 3" xfId="6171" xr:uid="{00000000-0005-0000-0000-000016010000}"/>
    <cellStyle name="20% - Accent2 3 6 3 2" xfId="14610" xr:uid="{0798E436-4CB3-40A2-849D-88AE23E9CE3C}"/>
    <cellStyle name="20% - Accent2 3 6 4" xfId="10392" xr:uid="{11D7D6AC-9CF5-428A-8D50-BB4CE78DE1B0}"/>
    <cellStyle name="20% - Accent2 3 7" xfId="2277" xr:uid="{00000000-0005-0000-0000-000017010000}"/>
    <cellStyle name="20% - Accent2 3 7 2" xfId="6584" xr:uid="{00000000-0005-0000-0000-000018010000}"/>
    <cellStyle name="20% - Accent2 3 7 2 2" xfId="15023" xr:uid="{396AE4A4-271C-4371-A14A-937990FB4188}"/>
    <cellStyle name="20% - Accent2 3 7 3" xfId="10805" xr:uid="{197A8F46-3566-4666-9F75-728DE69F7CEB}"/>
    <cellStyle name="20% - Accent2 3 8" xfId="4518" xr:uid="{00000000-0005-0000-0000-000019010000}"/>
    <cellStyle name="20% - Accent2 3 8 2" xfId="12957" xr:uid="{7A98DA5E-1FD1-4012-971B-ABD0DB5EAE67}"/>
    <cellStyle name="20% - Accent2 3 9" xfId="8739" xr:uid="{F7CBA37C-20FD-4903-9A5B-307E3D79D38E}"/>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05DD6DE6-07C7-459C-BF87-56CD7312725A}"/>
    <cellStyle name="20% - Accent2 4 2 2 3" xfId="11300" xr:uid="{D9048BF1-BC57-444C-A4C1-FAA93AAE1621}"/>
    <cellStyle name="20% - Accent2 4 2 3" xfId="4934" xr:uid="{00000000-0005-0000-0000-00001E010000}"/>
    <cellStyle name="20% - Accent2 4 2 3 2" xfId="13373" xr:uid="{C6409CD2-593D-4CF8-8107-CAA5EF5191B4}"/>
    <cellStyle name="20% - Accent2 4 2 4" xfId="9155" xr:uid="{24C38127-6DF7-4160-97A2-24BA45878944}"/>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5080E6B3-D59C-4F05-B858-CE67F87C5EED}"/>
    <cellStyle name="20% - Accent2 4 3 2 3" xfId="11713" xr:uid="{27CB9BC9-E41D-40C6-B9EE-7887B700B7D4}"/>
    <cellStyle name="20% - Accent2 4 3 3" xfId="5347" xr:uid="{00000000-0005-0000-0000-000022010000}"/>
    <cellStyle name="20% - Accent2 4 3 3 2" xfId="13786" xr:uid="{89FDC4E2-65E2-4F3F-B7FD-021B7515D4A3}"/>
    <cellStyle name="20% - Accent2 4 3 4" xfId="9568" xr:uid="{851C276E-FBEC-4FB5-99DC-F33FBE2A5C14}"/>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6C979D87-A873-4CBB-9389-C5C8E4DEE4FD}"/>
    <cellStyle name="20% - Accent2 4 4 2 3" xfId="12126" xr:uid="{006C848E-3987-4905-87C3-59347BBBFFDF}"/>
    <cellStyle name="20% - Accent2 4 4 3" xfId="5760" xr:uid="{00000000-0005-0000-0000-000026010000}"/>
    <cellStyle name="20% - Accent2 4 4 3 2" xfId="14199" xr:uid="{FCEC95E5-6567-4D5E-A5C5-66A697D0392F}"/>
    <cellStyle name="20% - Accent2 4 4 4" xfId="9981" xr:uid="{3F93DC8B-DE41-4786-9CF0-F8B7E54EC2C1}"/>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60D07234-0717-4C87-A0A1-C5082530B5C8}"/>
    <cellStyle name="20% - Accent2 4 5 2 3" xfId="12539" xr:uid="{AF63DA5F-42D5-4465-973B-4D3AB315FF53}"/>
    <cellStyle name="20% - Accent2 4 5 3" xfId="6173" xr:uid="{00000000-0005-0000-0000-00002A010000}"/>
    <cellStyle name="20% - Accent2 4 5 3 2" xfId="14612" xr:uid="{7E6D3276-D0CA-48DB-BB1E-1CF2C97096D6}"/>
    <cellStyle name="20% - Accent2 4 5 4" xfId="10394" xr:uid="{951CE131-6410-4185-A548-E432F109A277}"/>
    <cellStyle name="20% - Accent2 4 6" xfId="2279" xr:uid="{00000000-0005-0000-0000-00002B010000}"/>
    <cellStyle name="20% - Accent2 4 6 2" xfId="6586" xr:uid="{00000000-0005-0000-0000-00002C010000}"/>
    <cellStyle name="20% - Accent2 4 6 2 2" xfId="15025" xr:uid="{6E5032AB-8D14-44BF-927A-4AA1689345AF}"/>
    <cellStyle name="20% - Accent2 4 6 3" xfId="10807" xr:uid="{3085E638-9E7C-4A43-A6AA-6DE0CDFE5D35}"/>
    <cellStyle name="20% - Accent2 4 7" xfId="4520" xr:uid="{00000000-0005-0000-0000-00002D010000}"/>
    <cellStyle name="20% - Accent2 4 7 2" xfId="12959" xr:uid="{4C1484C1-B41D-44DA-AF94-B4073BFB0351}"/>
    <cellStyle name="20% - Accent2 4 8" xfId="8741" xr:uid="{DD8AA3B3-A83F-4096-964C-D7A153817824}"/>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21269BEC-010F-4023-972C-256E8CA53160}"/>
    <cellStyle name="20% - Accent2 5 2 3" xfId="11293" xr:uid="{0DA4A669-54DB-423A-816B-E0C9CC7CF20E}"/>
    <cellStyle name="20% - Accent2 5 3" xfId="4927" xr:uid="{00000000-0005-0000-0000-000031010000}"/>
    <cellStyle name="20% - Accent2 5 3 2" xfId="13366" xr:uid="{BE58B10F-0D16-47CB-A505-B4BB93B4B05D}"/>
    <cellStyle name="20% - Accent2 5 4" xfId="9148" xr:uid="{8792271D-7B34-4C9A-A345-8ED6E411A90B}"/>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DE332C6D-33F0-4DCA-AE3B-B7686E2EF0FF}"/>
    <cellStyle name="20% - Accent2 6 2 3" xfId="11706" xr:uid="{619B1657-214E-4982-BEE2-6FB0AA11297F}"/>
    <cellStyle name="20% - Accent2 6 3" xfId="5340" xr:uid="{00000000-0005-0000-0000-000035010000}"/>
    <cellStyle name="20% - Accent2 6 3 2" xfId="13779" xr:uid="{57403ADA-0D56-4F66-8DBF-18794411C8DA}"/>
    <cellStyle name="20% - Accent2 6 4" xfId="9561" xr:uid="{BE9256F2-8335-4475-A087-41A57E5EB6F5}"/>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4CB3237C-35F7-4B99-934F-80C8B6F38260}"/>
    <cellStyle name="20% - Accent2 7 2 3" xfId="12119" xr:uid="{2AFF3B63-64D4-4BE6-A983-924499C012F3}"/>
    <cellStyle name="20% - Accent2 7 3" xfId="5753" xr:uid="{00000000-0005-0000-0000-000039010000}"/>
    <cellStyle name="20% - Accent2 7 3 2" xfId="14192" xr:uid="{A59129AA-4903-4456-BB98-DA31B74BD702}"/>
    <cellStyle name="20% - Accent2 7 4" xfId="9974" xr:uid="{19FC4827-2926-4B31-91EC-C9EE0578C6DC}"/>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C3185644-5249-4380-B9E8-D652A2B6CBCA}"/>
    <cellStyle name="20% - Accent2 8 2 3" xfId="12532" xr:uid="{A9A8E9CA-BBBB-4F9F-9847-DE631EB8EB07}"/>
    <cellStyle name="20% - Accent2 8 3" xfId="6166" xr:uid="{00000000-0005-0000-0000-00003D010000}"/>
    <cellStyle name="20% - Accent2 8 3 2" xfId="14605" xr:uid="{59FEBD2C-9724-44A1-A0A4-C95220E075A7}"/>
    <cellStyle name="20% - Accent2 8 4" xfId="10387" xr:uid="{06647310-F12B-4599-9CD8-E04F8333DFCB}"/>
    <cellStyle name="20% - Accent2 9" xfId="2272" xr:uid="{00000000-0005-0000-0000-00003E010000}"/>
    <cellStyle name="20% - Accent2 9 2" xfId="6579" xr:uid="{00000000-0005-0000-0000-00003F010000}"/>
    <cellStyle name="20% - Accent2 9 2 2" xfId="15018" xr:uid="{7D4E42F1-0B65-4FCD-98FC-2A53AAAE55F9}"/>
    <cellStyle name="20% - Accent2 9 3" xfId="10800" xr:uid="{04A5E71F-15D6-415E-8CCE-50CFA6033811}"/>
    <cellStyle name="20% - Accent3" xfId="17" builtinId="38" customBuiltin="1"/>
    <cellStyle name="20% - Accent3 10" xfId="4521" xr:uid="{00000000-0005-0000-0000-000041010000}"/>
    <cellStyle name="20% - Accent3 10 2" xfId="12960" xr:uid="{0F9E0D4A-9419-473A-8F42-B8ECED8CB1E1}"/>
    <cellStyle name="20% - Accent3 11" xfId="8742" xr:uid="{113885DF-61F8-42B5-9E6A-5A0F407116CE}"/>
    <cellStyle name="20% - Accent3 2" xfId="18" xr:uid="{00000000-0005-0000-0000-000042010000}"/>
    <cellStyle name="20% - Accent3 2 10" xfId="8743" xr:uid="{6FBCBF66-17F3-450A-94F4-52BB927B5217}"/>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E8F0672D-EDFE-4B28-9C1B-128EB8A3D165}"/>
    <cellStyle name="20% - Accent3 2 2 2 2 2 3" xfId="11304" xr:uid="{552EBE43-D7E5-4BA4-B04F-3D35310FD82E}"/>
    <cellStyle name="20% - Accent3 2 2 2 2 3" xfId="4938" xr:uid="{00000000-0005-0000-0000-000048010000}"/>
    <cellStyle name="20% - Accent3 2 2 2 2 3 2" xfId="13377" xr:uid="{BEF0D7C2-1D33-42CC-81FD-B7542365EFF7}"/>
    <cellStyle name="20% - Accent3 2 2 2 2 4" xfId="9159" xr:uid="{A2EA3B22-0C61-4383-A1E6-DDEF2D9D9A27}"/>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1BDA41CE-19BF-4628-A533-FAF987E05384}"/>
    <cellStyle name="20% - Accent3 2 2 2 3 2 3" xfId="11717" xr:uid="{3032AE87-87D4-44C4-9924-24AC0F0797CC}"/>
    <cellStyle name="20% - Accent3 2 2 2 3 3" xfId="5351" xr:uid="{00000000-0005-0000-0000-00004C010000}"/>
    <cellStyle name="20% - Accent3 2 2 2 3 3 2" xfId="13790" xr:uid="{3EC31B77-2724-4560-89C3-8ED9CD7407F6}"/>
    <cellStyle name="20% - Accent3 2 2 2 3 4" xfId="9572" xr:uid="{4BB82898-9737-4579-9AE6-EE09DD58E96F}"/>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BA14A6FB-08D6-4989-8530-BD44ADC3F794}"/>
    <cellStyle name="20% - Accent3 2 2 2 4 2 3" xfId="12130" xr:uid="{F6F14F93-F4C4-4806-9F65-36F3868E7A37}"/>
    <cellStyle name="20% - Accent3 2 2 2 4 3" xfId="5764" xr:uid="{00000000-0005-0000-0000-000050010000}"/>
    <cellStyle name="20% - Accent3 2 2 2 4 3 2" xfId="14203" xr:uid="{A675B6CC-F2F6-45AA-97DE-9FB290120211}"/>
    <cellStyle name="20% - Accent3 2 2 2 4 4" xfId="9985" xr:uid="{B6A8E675-7B4D-46B7-8AAE-85C6716795EA}"/>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08BE8A53-9F71-46C8-93A3-F9B9E3416751}"/>
    <cellStyle name="20% - Accent3 2 2 2 5 2 3" xfId="12543" xr:uid="{4C2F3F1A-3565-41D9-B457-B38A0011A1D1}"/>
    <cellStyle name="20% - Accent3 2 2 2 5 3" xfId="6177" xr:uid="{00000000-0005-0000-0000-000054010000}"/>
    <cellStyle name="20% - Accent3 2 2 2 5 3 2" xfId="14616" xr:uid="{25497F12-8CAE-4242-8DA0-2571E6749BA1}"/>
    <cellStyle name="20% - Accent3 2 2 2 5 4" xfId="10398" xr:uid="{76EDFFE5-FF5F-48E3-99AB-424C04ADC4C4}"/>
    <cellStyle name="20% - Accent3 2 2 2 6" xfId="2283" xr:uid="{00000000-0005-0000-0000-000055010000}"/>
    <cellStyle name="20% - Accent3 2 2 2 6 2" xfId="6590" xr:uid="{00000000-0005-0000-0000-000056010000}"/>
    <cellStyle name="20% - Accent3 2 2 2 6 2 2" xfId="15029" xr:uid="{B293CD35-D6A2-4EA1-BD96-24D90B6FCA7C}"/>
    <cellStyle name="20% - Accent3 2 2 2 6 3" xfId="10811" xr:uid="{E8DB806B-2150-494E-AAC0-915090C57B24}"/>
    <cellStyle name="20% - Accent3 2 2 2 7" xfId="4524" xr:uid="{00000000-0005-0000-0000-000057010000}"/>
    <cellStyle name="20% - Accent3 2 2 2 7 2" xfId="12963" xr:uid="{D2E4880E-E011-4CBB-9D2C-CB55615810DF}"/>
    <cellStyle name="20% - Accent3 2 2 2 8" xfId="8745" xr:uid="{5FDFD761-C8D8-4576-AF93-3F660AE6A5A9}"/>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B1B211A7-552F-4CF2-A4C0-B92FD742BA96}"/>
    <cellStyle name="20% - Accent3 2 2 3 2 3" xfId="11303" xr:uid="{F1FC0082-0C0C-472B-8B5A-FCC64ACCFFB4}"/>
    <cellStyle name="20% - Accent3 2 2 3 3" xfId="4937" xr:uid="{00000000-0005-0000-0000-00005B010000}"/>
    <cellStyle name="20% - Accent3 2 2 3 3 2" xfId="13376" xr:uid="{0F32B271-62F7-48C9-951D-5D928CFC1885}"/>
    <cellStyle name="20% - Accent3 2 2 3 4" xfId="9158" xr:uid="{B6CEC370-BDCA-4587-A310-5CCF3109F4DA}"/>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CEFA288E-43A1-46AF-9B7A-031ED1DB2EF2}"/>
    <cellStyle name="20% - Accent3 2 2 4 2 3" xfId="11716" xr:uid="{777580FB-D3FF-405D-8577-7CD199CBC5AB}"/>
    <cellStyle name="20% - Accent3 2 2 4 3" xfId="5350" xr:uid="{00000000-0005-0000-0000-00005F010000}"/>
    <cellStyle name="20% - Accent3 2 2 4 3 2" xfId="13789" xr:uid="{4E459841-3E49-4F1D-BF05-22278ADB3F63}"/>
    <cellStyle name="20% - Accent3 2 2 4 4" xfId="9571" xr:uid="{32C7D3ED-07C3-420E-BD1D-6DEC875025CB}"/>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F2F93A85-903C-4463-97B6-7E0093375A1C}"/>
    <cellStyle name="20% - Accent3 2 2 5 2 3" xfId="12129" xr:uid="{CE4D3606-9B9E-4426-8943-3D342136D512}"/>
    <cellStyle name="20% - Accent3 2 2 5 3" xfId="5763" xr:uid="{00000000-0005-0000-0000-000063010000}"/>
    <cellStyle name="20% - Accent3 2 2 5 3 2" xfId="14202" xr:uid="{98D5901A-5199-49B7-9A79-50D8346FD060}"/>
    <cellStyle name="20% - Accent3 2 2 5 4" xfId="9984" xr:uid="{CA2B5B80-070E-4F66-9ED7-47823334529B}"/>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1E93117D-005D-484D-BCAA-C9D5553D918E}"/>
    <cellStyle name="20% - Accent3 2 2 6 2 3" xfId="12542" xr:uid="{1E8EEDC9-F1B7-472E-88F0-ECA5FD1B55AF}"/>
    <cellStyle name="20% - Accent3 2 2 6 3" xfId="6176" xr:uid="{00000000-0005-0000-0000-000067010000}"/>
    <cellStyle name="20% - Accent3 2 2 6 3 2" xfId="14615" xr:uid="{A47D8D24-2951-43A6-A048-AE9303177A88}"/>
    <cellStyle name="20% - Accent3 2 2 6 4" xfId="10397" xr:uid="{1205B7F3-1A58-437D-AB5B-72F3FA5B9FC2}"/>
    <cellStyle name="20% - Accent3 2 2 7" xfId="2282" xr:uid="{00000000-0005-0000-0000-000068010000}"/>
    <cellStyle name="20% - Accent3 2 2 7 2" xfId="6589" xr:uid="{00000000-0005-0000-0000-000069010000}"/>
    <cellStyle name="20% - Accent3 2 2 7 2 2" xfId="15028" xr:uid="{2750DC06-08FE-4F5F-8EC3-A3D8FEC45B15}"/>
    <cellStyle name="20% - Accent3 2 2 7 3" xfId="10810" xr:uid="{FDC84E71-3A63-4111-A33A-9375145AF4BB}"/>
    <cellStyle name="20% - Accent3 2 2 8" xfId="4523" xr:uid="{00000000-0005-0000-0000-00006A010000}"/>
    <cellStyle name="20% - Accent3 2 2 8 2" xfId="12962" xr:uid="{F37ADF78-9FFB-4AD9-A0C3-F54B3716AFAA}"/>
    <cellStyle name="20% - Accent3 2 2 9" xfId="8744" xr:uid="{238EE636-4959-4741-8BFB-28B9C7AF04AB}"/>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ABF15C5D-7B1C-40E9-8805-D3AA1AFC716A}"/>
    <cellStyle name="20% - Accent3 2 3 2 2 3" xfId="11305" xr:uid="{8E7F740E-3A2B-4365-B9B3-315A7527A5B2}"/>
    <cellStyle name="20% - Accent3 2 3 2 3" xfId="4939" xr:uid="{00000000-0005-0000-0000-00006F010000}"/>
    <cellStyle name="20% - Accent3 2 3 2 3 2" xfId="13378" xr:uid="{E8BBE883-0F11-41CA-85F7-F50319671FE5}"/>
    <cellStyle name="20% - Accent3 2 3 2 4" xfId="9160" xr:uid="{FDA72BAB-B703-448E-BB20-F2E0013A10FB}"/>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C4BBBCEB-2B25-409D-BF08-B8DFD8A73C0D}"/>
    <cellStyle name="20% - Accent3 2 3 3 2 3" xfId="11718" xr:uid="{234DB4C8-9FFB-499A-9B79-A0C96A9C19E3}"/>
    <cellStyle name="20% - Accent3 2 3 3 3" xfId="5352" xr:uid="{00000000-0005-0000-0000-000073010000}"/>
    <cellStyle name="20% - Accent3 2 3 3 3 2" xfId="13791" xr:uid="{21AE6122-9555-44D5-955B-3616469ACA23}"/>
    <cellStyle name="20% - Accent3 2 3 3 4" xfId="9573" xr:uid="{40BE3F0F-84E4-4A05-903E-69356453A6A9}"/>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2D711712-5E98-446C-85EA-6F5B7DB81BAC}"/>
    <cellStyle name="20% - Accent3 2 3 4 2 3" xfId="12131" xr:uid="{38105430-29DA-4E70-90B6-7F8D6BDC5DF1}"/>
    <cellStyle name="20% - Accent3 2 3 4 3" xfId="5765" xr:uid="{00000000-0005-0000-0000-000077010000}"/>
    <cellStyle name="20% - Accent3 2 3 4 3 2" xfId="14204" xr:uid="{13CF1F22-02BF-4302-A4F4-856FCA8FB4D4}"/>
    <cellStyle name="20% - Accent3 2 3 4 4" xfId="9986" xr:uid="{CA0854AF-8314-4CF3-828F-AAF6983455D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80ABD1F5-DB04-4AAD-AC1E-F9C1C0D2DA76}"/>
    <cellStyle name="20% - Accent3 2 3 5 2 3" xfId="12544" xr:uid="{510DBC53-BD03-481F-975A-2DF04E38F0FB}"/>
    <cellStyle name="20% - Accent3 2 3 5 3" xfId="6178" xr:uid="{00000000-0005-0000-0000-00007B010000}"/>
    <cellStyle name="20% - Accent3 2 3 5 3 2" xfId="14617" xr:uid="{7F48E736-B658-4249-A860-3F0F1ADC8C9B}"/>
    <cellStyle name="20% - Accent3 2 3 5 4" xfId="10399" xr:uid="{6A49E97F-931E-4B16-8F2B-CE858557A87D}"/>
    <cellStyle name="20% - Accent3 2 3 6" xfId="2284" xr:uid="{00000000-0005-0000-0000-00007C010000}"/>
    <cellStyle name="20% - Accent3 2 3 6 2" xfId="6591" xr:uid="{00000000-0005-0000-0000-00007D010000}"/>
    <cellStyle name="20% - Accent3 2 3 6 2 2" xfId="15030" xr:uid="{6CEA2C2C-A99C-4037-BF57-C5DEFF5A79E8}"/>
    <cellStyle name="20% - Accent3 2 3 6 3" xfId="10812" xr:uid="{9811A1BE-0ED7-4267-A8B1-F7DCEFD8A644}"/>
    <cellStyle name="20% - Accent3 2 3 7" xfId="4525" xr:uid="{00000000-0005-0000-0000-00007E010000}"/>
    <cellStyle name="20% - Accent3 2 3 7 2" xfId="12964" xr:uid="{4469A840-4422-4B16-86B3-EC28E0EE6EB2}"/>
    <cellStyle name="20% - Accent3 2 3 8" xfId="8746" xr:uid="{D57C3F3B-6ECE-413E-B897-0040C4FCB4BD}"/>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9AA2CD7D-FFF3-4EC2-AD6B-DCE7DC91E9CE}"/>
    <cellStyle name="20% - Accent3 2 4 2 3" xfId="11302" xr:uid="{F9101261-A73F-451C-9E80-CAB04FECB792}"/>
    <cellStyle name="20% - Accent3 2 4 3" xfId="4936" xr:uid="{00000000-0005-0000-0000-000082010000}"/>
    <cellStyle name="20% - Accent3 2 4 3 2" xfId="13375" xr:uid="{D8261D65-FF5F-44A4-BEFC-C599F511BB80}"/>
    <cellStyle name="20% - Accent3 2 4 4" xfId="9157" xr:uid="{EBF53229-071C-4DEA-83FA-3E9A63F5BA19}"/>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C05688F7-C8B6-4682-B333-B02DAF286EDE}"/>
    <cellStyle name="20% - Accent3 2 5 2 3" xfId="11715" xr:uid="{E34E6F61-67EF-47CE-BB0E-A234E25BDAE8}"/>
    <cellStyle name="20% - Accent3 2 5 3" xfId="5349" xr:uid="{00000000-0005-0000-0000-000086010000}"/>
    <cellStyle name="20% - Accent3 2 5 3 2" xfId="13788" xr:uid="{446508AB-2A25-427D-A81E-0B49B80846D8}"/>
    <cellStyle name="20% - Accent3 2 5 4" xfId="9570" xr:uid="{814679D7-8EA8-4232-B2E2-24837CE72FD5}"/>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0A6AAB19-4221-4A8E-97E7-955780AD7F9C}"/>
    <cellStyle name="20% - Accent3 2 6 2 3" xfId="12128" xr:uid="{819A0DB4-8A3B-47A3-999D-20B7F10DA4C2}"/>
    <cellStyle name="20% - Accent3 2 6 3" xfId="5762" xr:uid="{00000000-0005-0000-0000-00008A010000}"/>
    <cellStyle name="20% - Accent3 2 6 3 2" xfId="14201" xr:uid="{0C8A3373-D0A3-4788-AA65-3DE50F3334B2}"/>
    <cellStyle name="20% - Accent3 2 6 4" xfId="9983" xr:uid="{426DB1D4-654E-404B-BC46-D963726A6EE8}"/>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EADC6E3B-D35F-423C-BC64-7C76687CC023}"/>
    <cellStyle name="20% - Accent3 2 7 2 3" xfId="12541" xr:uid="{02D0888F-083B-4A59-9A36-BBEAD19AB49A}"/>
    <cellStyle name="20% - Accent3 2 7 3" xfId="6175" xr:uid="{00000000-0005-0000-0000-00008E010000}"/>
    <cellStyle name="20% - Accent3 2 7 3 2" xfId="14614" xr:uid="{4925264E-1DB4-4BD8-AE78-D4022BEC86F4}"/>
    <cellStyle name="20% - Accent3 2 7 4" xfId="10396" xr:uid="{3BDA7AAF-DCE9-4985-82F9-DF2947929BE8}"/>
    <cellStyle name="20% - Accent3 2 8" xfId="2281" xr:uid="{00000000-0005-0000-0000-00008F010000}"/>
    <cellStyle name="20% - Accent3 2 8 2" xfId="6588" xr:uid="{00000000-0005-0000-0000-000090010000}"/>
    <cellStyle name="20% - Accent3 2 8 2 2" xfId="15027" xr:uid="{198CBEC6-3107-4B64-9C20-6318E8D2C674}"/>
    <cellStyle name="20% - Accent3 2 8 3" xfId="10809" xr:uid="{6B3AE885-5F0C-45D0-AB05-602F92747E28}"/>
    <cellStyle name="20% - Accent3 2 9" xfId="4522" xr:uid="{00000000-0005-0000-0000-000091010000}"/>
    <cellStyle name="20% - Accent3 2 9 2" xfId="12961" xr:uid="{FB91E981-99E0-4BE0-B21C-0995C5D614C1}"/>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0A707B99-5A96-4D86-8BD3-3FE37766A003}"/>
    <cellStyle name="20% - Accent3 3 2 2 2 3" xfId="11307" xr:uid="{66AC1DF3-2EE9-4BE0-84D9-674EF206470A}"/>
    <cellStyle name="20% - Accent3 3 2 2 3" xfId="4941" xr:uid="{00000000-0005-0000-0000-000097010000}"/>
    <cellStyle name="20% - Accent3 3 2 2 3 2" xfId="13380" xr:uid="{CA1A8504-88BA-4C98-ACE3-98CFC9B0F3C3}"/>
    <cellStyle name="20% - Accent3 3 2 2 4" xfId="9162" xr:uid="{548F6983-2184-4ADE-B5BD-13E621782F15}"/>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7D31A885-1591-4960-9D77-39DF10EEEE10}"/>
    <cellStyle name="20% - Accent3 3 2 3 2 3" xfId="11720" xr:uid="{36DC0BE8-30FB-44E0-82C6-9345CD7C6A30}"/>
    <cellStyle name="20% - Accent3 3 2 3 3" xfId="5354" xr:uid="{00000000-0005-0000-0000-00009B010000}"/>
    <cellStyle name="20% - Accent3 3 2 3 3 2" xfId="13793" xr:uid="{EB197A0D-C93A-4757-A2A2-2FC9E9987255}"/>
    <cellStyle name="20% - Accent3 3 2 3 4" xfId="9575" xr:uid="{6A2FBDB8-6C12-487A-A08B-69286A339A9C}"/>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C2D00FEC-734D-4DDB-AA76-7BF10B241E8A}"/>
    <cellStyle name="20% - Accent3 3 2 4 2 3" xfId="12133" xr:uid="{F997115A-96CB-46B8-A508-91022519DB68}"/>
    <cellStyle name="20% - Accent3 3 2 4 3" xfId="5767" xr:uid="{00000000-0005-0000-0000-00009F010000}"/>
    <cellStyle name="20% - Accent3 3 2 4 3 2" xfId="14206" xr:uid="{6F23B1DA-7F56-40AB-ADCB-D74FAE657B55}"/>
    <cellStyle name="20% - Accent3 3 2 4 4" xfId="9988" xr:uid="{EBB3FB4A-BD3D-40A5-9BD3-8DB7A82F548A}"/>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BF3C065C-C097-4CEF-8B29-04F70A7AE774}"/>
    <cellStyle name="20% - Accent3 3 2 5 2 3" xfId="12546" xr:uid="{42F0B8E1-8943-4806-A0B4-AAC5F00E1C2B}"/>
    <cellStyle name="20% - Accent3 3 2 5 3" xfId="6180" xr:uid="{00000000-0005-0000-0000-0000A3010000}"/>
    <cellStyle name="20% - Accent3 3 2 5 3 2" xfId="14619" xr:uid="{5A8E90BF-67A0-4FF5-A251-D7D8672C82D5}"/>
    <cellStyle name="20% - Accent3 3 2 5 4" xfId="10401" xr:uid="{B5524F34-3168-48A9-8386-763460824A43}"/>
    <cellStyle name="20% - Accent3 3 2 6" xfId="2286" xr:uid="{00000000-0005-0000-0000-0000A4010000}"/>
    <cellStyle name="20% - Accent3 3 2 6 2" xfId="6593" xr:uid="{00000000-0005-0000-0000-0000A5010000}"/>
    <cellStyle name="20% - Accent3 3 2 6 2 2" xfId="15032" xr:uid="{2F7F8191-4072-438F-9264-674FBE9BEE98}"/>
    <cellStyle name="20% - Accent3 3 2 6 3" xfId="10814" xr:uid="{48C9E5FB-BF4A-4B3F-AD0D-4D1CD14A24F1}"/>
    <cellStyle name="20% - Accent3 3 2 7" xfId="4527" xr:uid="{00000000-0005-0000-0000-0000A6010000}"/>
    <cellStyle name="20% - Accent3 3 2 7 2" xfId="12966" xr:uid="{64A42431-5A5A-45F7-85AB-8A1C83E2ABF5}"/>
    <cellStyle name="20% - Accent3 3 2 8" xfId="8748" xr:uid="{7FE14D45-F592-44D5-ABAA-99EE570E9B91}"/>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123C99E0-B56F-4DA3-B8A4-4FC2B31D88C0}"/>
    <cellStyle name="20% - Accent3 3 3 2 3" xfId="11306" xr:uid="{018A3EC6-2C70-4F32-B660-B197D028A502}"/>
    <cellStyle name="20% - Accent3 3 3 3" xfId="4940" xr:uid="{00000000-0005-0000-0000-0000AA010000}"/>
    <cellStyle name="20% - Accent3 3 3 3 2" xfId="13379" xr:uid="{64E53172-C9C3-4DAD-B00B-58A2916BB3DF}"/>
    <cellStyle name="20% - Accent3 3 3 4" xfId="9161" xr:uid="{2D6A7664-1E51-470F-90B4-F7177320C749}"/>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C687796F-6D13-42D2-9FB0-13820FEFA320}"/>
    <cellStyle name="20% - Accent3 3 4 2 3" xfId="11719" xr:uid="{38E34825-7689-4B32-948B-5C6827808014}"/>
    <cellStyle name="20% - Accent3 3 4 3" xfId="5353" xr:uid="{00000000-0005-0000-0000-0000AE010000}"/>
    <cellStyle name="20% - Accent3 3 4 3 2" xfId="13792" xr:uid="{58D1BEC7-1E5B-468B-8F3D-7F07A9F59272}"/>
    <cellStyle name="20% - Accent3 3 4 4" xfId="9574" xr:uid="{3209CD67-586A-467E-8B10-E982114ACF72}"/>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DFEA06AE-74CA-464B-A323-EC97584FBA55}"/>
    <cellStyle name="20% - Accent3 3 5 2 3" xfId="12132" xr:uid="{FBF19399-931A-4533-AF01-C751BB4EFFC0}"/>
    <cellStyle name="20% - Accent3 3 5 3" xfId="5766" xr:uid="{00000000-0005-0000-0000-0000B2010000}"/>
    <cellStyle name="20% - Accent3 3 5 3 2" xfId="14205" xr:uid="{C4BD8B52-99D3-44A4-BDB6-21C36F7F2A90}"/>
    <cellStyle name="20% - Accent3 3 5 4" xfId="9987" xr:uid="{7F1ECD29-AE74-4278-8CA9-77D893FDD8B7}"/>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216F4F2C-F03A-4167-97E7-65ABE5F6A9E0}"/>
    <cellStyle name="20% - Accent3 3 6 2 3" xfId="12545" xr:uid="{EC98A8DB-AAD5-4B4A-A6BC-D97AF4438E34}"/>
    <cellStyle name="20% - Accent3 3 6 3" xfId="6179" xr:uid="{00000000-0005-0000-0000-0000B6010000}"/>
    <cellStyle name="20% - Accent3 3 6 3 2" xfId="14618" xr:uid="{E4294115-A57B-4B1D-B962-1A6CDF90BB35}"/>
    <cellStyle name="20% - Accent3 3 6 4" xfId="10400" xr:uid="{32350AC3-77A7-4A8C-B108-1DEDB2D5BB99}"/>
    <cellStyle name="20% - Accent3 3 7" xfId="2285" xr:uid="{00000000-0005-0000-0000-0000B7010000}"/>
    <cellStyle name="20% - Accent3 3 7 2" xfId="6592" xr:uid="{00000000-0005-0000-0000-0000B8010000}"/>
    <cellStyle name="20% - Accent3 3 7 2 2" xfId="15031" xr:uid="{D52D5B42-84BC-4EC6-8672-FB75E46403AD}"/>
    <cellStyle name="20% - Accent3 3 7 3" xfId="10813" xr:uid="{ECE52CF8-8F76-41F0-9FC7-F32C4CD77CA3}"/>
    <cellStyle name="20% - Accent3 3 8" xfId="4526" xr:uid="{00000000-0005-0000-0000-0000B9010000}"/>
    <cellStyle name="20% - Accent3 3 8 2" xfId="12965" xr:uid="{6841DF7E-305D-44AB-B78A-A5CE6C5FBF38}"/>
    <cellStyle name="20% - Accent3 3 9" xfId="8747" xr:uid="{4B7D5479-5429-4B22-8738-6C926CDF4024}"/>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447C95C0-A212-42A8-8FC3-8E230843E120}"/>
    <cellStyle name="20% - Accent3 4 2 2 3" xfId="11308" xr:uid="{BE7BBF5E-F3FC-4DD5-BBFF-04B2B8CDCF51}"/>
    <cellStyle name="20% - Accent3 4 2 3" xfId="4942" xr:uid="{00000000-0005-0000-0000-0000BE010000}"/>
    <cellStyle name="20% - Accent3 4 2 3 2" xfId="13381" xr:uid="{5F21E168-5F89-4326-AB74-DDE54DC6D671}"/>
    <cellStyle name="20% - Accent3 4 2 4" xfId="9163" xr:uid="{B89436BA-8375-4B88-9A62-88CA37D92D82}"/>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5AA8B7C1-F51E-4854-A4C4-D3408D91C3CE}"/>
    <cellStyle name="20% - Accent3 4 3 2 3" xfId="11721" xr:uid="{901E49D5-43C4-44E2-8C56-3FA19C29069D}"/>
    <cellStyle name="20% - Accent3 4 3 3" xfId="5355" xr:uid="{00000000-0005-0000-0000-0000C2010000}"/>
    <cellStyle name="20% - Accent3 4 3 3 2" xfId="13794" xr:uid="{F1D5D12E-158E-4B41-A536-E4590F9DF796}"/>
    <cellStyle name="20% - Accent3 4 3 4" xfId="9576" xr:uid="{06BCD5E3-1292-4F33-8682-49BDA6F62C76}"/>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12837720-4D67-4B81-9612-31C49557480F}"/>
    <cellStyle name="20% - Accent3 4 4 2 3" xfId="12134" xr:uid="{0DE52479-C75C-4863-9155-2164308EA089}"/>
    <cellStyle name="20% - Accent3 4 4 3" xfId="5768" xr:uid="{00000000-0005-0000-0000-0000C6010000}"/>
    <cellStyle name="20% - Accent3 4 4 3 2" xfId="14207" xr:uid="{F9BF1613-CC4E-46AE-841B-D9CF35B3E776}"/>
    <cellStyle name="20% - Accent3 4 4 4" xfId="9989" xr:uid="{A52C1F4A-060C-4299-B2B0-94B580A1F278}"/>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06D462DD-118D-4C84-B769-F5323F756EE6}"/>
    <cellStyle name="20% - Accent3 4 5 2 3" xfId="12547" xr:uid="{81E082B2-0A2B-4CEC-BB1C-E0C93F23F848}"/>
    <cellStyle name="20% - Accent3 4 5 3" xfId="6181" xr:uid="{00000000-0005-0000-0000-0000CA010000}"/>
    <cellStyle name="20% - Accent3 4 5 3 2" xfId="14620" xr:uid="{6EBE993A-62A1-4DBD-86BC-981937173012}"/>
    <cellStyle name="20% - Accent3 4 5 4" xfId="10402" xr:uid="{3D2A1C52-B8AF-43DF-BB54-750D9168C1DA}"/>
    <cellStyle name="20% - Accent3 4 6" xfId="2287" xr:uid="{00000000-0005-0000-0000-0000CB010000}"/>
    <cellStyle name="20% - Accent3 4 6 2" xfId="6594" xr:uid="{00000000-0005-0000-0000-0000CC010000}"/>
    <cellStyle name="20% - Accent3 4 6 2 2" xfId="15033" xr:uid="{F593A7D1-6BAA-43F0-8E4A-F504708C4C74}"/>
    <cellStyle name="20% - Accent3 4 6 3" xfId="10815" xr:uid="{AF4C0CBD-1478-4925-83A7-EB4BC5B0B87A}"/>
    <cellStyle name="20% - Accent3 4 7" xfId="4528" xr:uid="{00000000-0005-0000-0000-0000CD010000}"/>
    <cellStyle name="20% - Accent3 4 7 2" xfId="12967" xr:uid="{765C23C8-9881-4B5D-A9BB-5DB35569DDEE}"/>
    <cellStyle name="20% - Accent3 4 8" xfId="8749" xr:uid="{22152212-8DCB-4120-A2AA-677CD2F872A0}"/>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219F0E59-1672-4F12-83D4-DF6DA80F7885}"/>
    <cellStyle name="20% - Accent3 5 2 3" xfId="11301" xr:uid="{54F1E9A1-D923-4941-80FD-121FA92C5C42}"/>
    <cellStyle name="20% - Accent3 5 3" xfId="4935" xr:uid="{00000000-0005-0000-0000-0000D1010000}"/>
    <cellStyle name="20% - Accent3 5 3 2" xfId="13374" xr:uid="{27BE3A6D-2658-4336-B2CF-0CE640652AE8}"/>
    <cellStyle name="20% - Accent3 5 4" xfId="9156" xr:uid="{E5D44C55-3B43-4CDA-AD7E-7A3B0890C1D0}"/>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D79CFC3B-4AAF-40B5-A9D9-2ADC850D07F6}"/>
    <cellStyle name="20% - Accent3 6 2 3" xfId="11714" xr:uid="{A09045C5-9A6D-405A-BB5A-D0D7F3B6F8B6}"/>
    <cellStyle name="20% - Accent3 6 3" xfId="5348" xr:uid="{00000000-0005-0000-0000-0000D5010000}"/>
    <cellStyle name="20% - Accent3 6 3 2" xfId="13787" xr:uid="{696F49BC-7B2F-47B5-A1FD-1FBD540E6D15}"/>
    <cellStyle name="20% - Accent3 6 4" xfId="9569" xr:uid="{D33C0F85-DBE6-4BE7-A0EA-12A63A60A8C5}"/>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A01FBBAD-947F-48B9-82E5-A0614C8CBBF8}"/>
    <cellStyle name="20% - Accent3 7 2 3" xfId="12127" xr:uid="{DF60F5FE-1A3F-4E27-8D75-61DDBF690915}"/>
    <cellStyle name="20% - Accent3 7 3" xfId="5761" xr:uid="{00000000-0005-0000-0000-0000D9010000}"/>
    <cellStyle name="20% - Accent3 7 3 2" xfId="14200" xr:uid="{E9A2E21B-7D51-45CC-836E-BCDEA6A97DD9}"/>
    <cellStyle name="20% - Accent3 7 4" xfId="9982" xr:uid="{9586F607-7C96-455C-AFF7-B5F887AE8A07}"/>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ACBCC861-9074-481B-8196-EF77C6032945}"/>
    <cellStyle name="20% - Accent3 8 2 3" xfId="12540" xr:uid="{789C6BD3-775E-4E4B-B76C-BCF29724A73B}"/>
    <cellStyle name="20% - Accent3 8 3" xfId="6174" xr:uid="{00000000-0005-0000-0000-0000DD010000}"/>
    <cellStyle name="20% - Accent3 8 3 2" xfId="14613" xr:uid="{20679C6F-7D83-4029-911A-E4EDB9BD7DCB}"/>
    <cellStyle name="20% - Accent3 8 4" xfId="10395" xr:uid="{971D9A6A-5CA6-4425-9B14-A3B06629F3F3}"/>
    <cellStyle name="20% - Accent3 9" xfId="2280" xr:uid="{00000000-0005-0000-0000-0000DE010000}"/>
    <cellStyle name="20% - Accent3 9 2" xfId="6587" xr:uid="{00000000-0005-0000-0000-0000DF010000}"/>
    <cellStyle name="20% - Accent3 9 2 2" xfId="15026" xr:uid="{FDB73A82-F96A-4635-AC2E-3208CAB7447D}"/>
    <cellStyle name="20% - Accent3 9 3" xfId="10808" xr:uid="{D7BA94CD-AF3E-4F74-AF79-A8F4C506FA37}"/>
    <cellStyle name="20% - Accent4" xfId="25" builtinId="42" customBuiltin="1"/>
    <cellStyle name="20% - Accent4 10" xfId="4529" xr:uid="{00000000-0005-0000-0000-0000E1010000}"/>
    <cellStyle name="20% - Accent4 10 2" xfId="12968" xr:uid="{427E8054-543B-4F71-B8DE-FA9640652031}"/>
    <cellStyle name="20% - Accent4 11" xfId="8750" xr:uid="{D206EBFD-F025-4E41-83F1-3A1608061235}"/>
    <cellStyle name="20% - Accent4 2" xfId="26" xr:uid="{00000000-0005-0000-0000-0000E2010000}"/>
    <cellStyle name="20% - Accent4 2 10" xfId="8751" xr:uid="{276C67CF-F671-4697-BB73-A23B139A536C}"/>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E54D5DB7-F725-485E-B075-E2FD526E2D5B}"/>
    <cellStyle name="20% - Accent4 2 2 2 2 2 3" xfId="11312" xr:uid="{B07B6C78-D020-4DC7-A483-6F5E40E9FF7D}"/>
    <cellStyle name="20% - Accent4 2 2 2 2 3" xfId="4946" xr:uid="{00000000-0005-0000-0000-0000E8010000}"/>
    <cellStyle name="20% - Accent4 2 2 2 2 3 2" xfId="13385" xr:uid="{59A6D6F2-2112-45A3-AA45-57BC2E845B7C}"/>
    <cellStyle name="20% - Accent4 2 2 2 2 4" xfId="9167" xr:uid="{7AEA741C-B2EF-4FE8-A0F6-8819E65DAF74}"/>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A3134D94-825E-43AC-9EE0-CD89236F0266}"/>
    <cellStyle name="20% - Accent4 2 2 2 3 2 3" xfId="11725" xr:uid="{4EADC967-C15A-4AE4-AF1D-9FC16D1D31BF}"/>
    <cellStyle name="20% - Accent4 2 2 2 3 3" xfId="5359" xr:uid="{00000000-0005-0000-0000-0000EC010000}"/>
    <cellStyle name="20% - Accent4 2 2 2 3 3 2" xfId="13798" xr:uid="{54C37029-93FE-404D-B1EA-3C0D5AA93CF3}"/>
    <cellStyle name="20% - Accent4 2 2 2 3 4" xfId="9580" xr:uid="{20FC9EA5-9756-49B9-BE2B-D948C240CD2F}"/>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6120F274-0B50-4E15-BAC6-CCA2C80DC3AB}"/>
    <cellStyle name="20% - Accent4 2 2 2 4 2 3" xfId="12138" xr:uid="{E894C607-8A5A-4E5F-9180-78CE06DA9520}"/>
    <cellStyle name="20% - Accent4 2 2 2 4 3" xfId="5772" xr:uid="{00000000-0005-0000-0000-0000F0010000}"/>
    <cellStyle name="20% - Accent4 2 2 2 4 3 2" xfId="14211" xr:uid="{ABA1641B-264E-4153-86E0-C7FF37960F4B}"/>
    <cellStyle name="20% - Accent4 2 2 2 4 4" xfId="9993" xr:uid="{2ECD688F-ECFB-4C68-9CBD-50630C90986B}"/>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CE7D5525-2689-4E2B-A206-A3D07D8929C0}"/>
    <cellStyle name="20% - Accent4 2 2 2 5 2 3" xfId="12551" xr:uid="{BA646DE8-E985-4F03-9153-91262C2FB48F}"/>
    <cellStyle name="20% - Accent4 2 2 2 5 3" xfId="6185" xr:uid="{00000000-0005-0000-0000-0000F4010000}"/>
    <cellStyle name="20% - Accent4 2 2 2 5 3 2" xfId="14624" xr:uid="{A3E9B105-AB8A-4C62-B4C7-3494E52A5C8B}"/>
    <cellStyle name="20% - Accent4 2 2 2 5 4" xfId="10406" xr:uid="{8A8FB461-B000-460C-9EB8-2FB5CF09FA8A}"/>
    <cellStyle name="20% - Accent4 2 2 2 6" xfId="2291" xr:uid="{00000000-0005-0000-0000-0000F5010000}"/>
    <cellStyle name="20% - Accent4 2 2 2 6 2" xfId="6598" xr:uid="{00000000-0005-0000-0000-0000F6010000}"/>
    <cellStyle name="20% - Accent4 2 2 2 6 2 2" xfId="15037" xr:uid="{82434605-E78B-4E38-82E8-AD1ABE54EAEF}"/>
    <cellStyle name="20% - Accent4 2 2 2 6 3" xfId="10819" xr:uid="{F9D8099B-F766-403D-8301-01E53C66C7B7}"/>
    <cellStyle name="20% - Accent4 2 2 2 7" xfId="4532" xr:uid="{00000000-0005-0000-0000-0000F7010000}"/>
    <cellStyle name="20% - Accent4 2 2 2 7 2" xfId="12971" xr:uid="{C38B9A07-B475-4F59-BC77-3FF33F8FFD8B}"/>
    <cellStyle name="20% - Accent4 2 2 2 8" xfId="8753" xr:uid="{5137AF2C-C45E-4D4E-8892-A255E4FC40A5}"/>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EAEB0C20-2885-49D7-BAC1-10B6CE46446A}"/>
    <cellStyle name="20% - Accent4 2 2 3 2 3" xfId="11311" xr:uid="{D606F7CA-C67D-491E-B5F8-92639A2EF4EE}"/>
    <cellStyle name="20% - Accent4 2 2 3 3" xfId="4945" xr:uid="{00000000-0005-0000-0000-0000FB010000}"/>
    <cellStyle name="20% - Accent4 2 2 3 3 2" xfId="13384" xr:uid="{CC19D430-9E50-459D-9057-6F3755FBA05D}"/>
    <cellStyle name="20% - Accent4 2 2 3 4" xfId="9166" xr:uid="{39F9964A-8265-4906-947C-CB6092BF0C80}"/>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F4ECD3B7-EFAE-4347-9D54-CB356BCFB318}"/>
    <cellStyle name="20% - Accent4 2 2 4 2 3" xfId="11724" xr:uid="{E1DAE9EA-3187-4454-9CEB-4203EDE74A19}"/>
    <cellStyle name="20% - Accent4 2 2 4 3" xfId="5358" xr:uid="{00000000-0005-0000-0000-0000FF010000}"/>
    <cellStyle name="20% - Accent4 2 2 4 3 2" xfId="13797" xr:uid="{A8A5310B-2EE9-4331-813B-9428731B2D29}"/>
    <cellStyle name="20% - Accent4 2 2 4 4" xfId="9579" xr:uid="{F039B513-3C7A-4F94-A8BF-0E93F10DD78F}"/>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22FC84B5-869D-4C54-8209-698857D2057F}"/>
    <cellStyle name="20% - Accent4 2 2 5 2 3" xfId="12137" xr:uid="{CDE65815-28F8-4589-9D00-66364BB92DE9}"/>
    <cellStyle name="20% - Accent4 2 2 5 3" xfId="5771" xr:uid="{00000000-0005-0000-0000-000003020000}"/>
    <cellStyle name="20% - Accent4 2 2 5 3 2" xfId="14210" xr:uid="{2EB8BACB-7C3B-4867-8D47-18E91FF30EF9}"/>
    <cellStyle name="20% - Accent4 2 2 5 4" xfId="9992" xr:uid="{5CD83AD1-C19B-4B15-8C45-86880BC29BE2}"/>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A48E98C1-3A0F-45E6-883D-BD851034E551}"/>
    <cellStyle name="20% - Accent4 2 2 6 2 3" xfId="12550" xr:uid="{21C10630-B95D-4FE8-BC67-C5C839C55953}"/>
    <cellStyle name="20% - Accent4 2 2 6 3" xfId="6184" xr:uid="{00000000-0005-0000-0000-000007020000}"/>
    <cellStyle name="20% - Accent4 2 2 6 3 2" xfId="14623" xr:uid="{A7FE6794-B810-4FB2-8EF7-678D7438689E}"/>
    <cellStyle name="20% - Accent4 2 2 6 4" xfId="10405" xr:uid="{87DB14D7-5967-45AC-8CA4-96D3CE3D55E5}"/>
    <cellStyle name="20% - Accent4 2 2 7" xfId="2290" xr:uid="{00000000-0005-0000-0000-000008020000}"/>
    <cellStyle name="20% - Accent4 2 2 7 2" xfId="6597" xr:uid="{00000000-0005-0000-0000-000009020000}"/>
    <cellStyle name="20% - Accent4 2 2 7 2 2" xfId="15036" xr:uid="{2C9922A3-9B8B-45DD-84A2-6DBCCF4C361C}"/>
    <cellStyle name="20% - Accent4 2 2 7 3" xfId="10818" xr:uid="{A15432DE-82DB-4067-8CD4-1755842ECFED}"/>
    <cellStyle name="20% - Accent4 2 2 8" xfId="4531" xr:uid="{00000000-0005-0000-0000-00000A020000}"/>
    <cellStyle name="20% - Accent4 2 2 8 2" xfId="12970" xr:uid="{310B82AE-3C4A-42A2-9F3A-F6781CEB787F}"/>
    <cellStyle name="20% - Accent4 2 2 9" xfId="8752" xr:uid="{80F94E76-0211-4462-894C-1B26856B79DF}"/>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F8F0D641-8D8A-4A34-B0B3-6558FDB42E19}"/>
    <cellStyle name="20% - Accent4 2 3 2 2 3" xfId="11313" xr:uid="{7C38B688-0965-4BE8-BCF0-6DB901E75441}"/>
    <cellStyle name="20% - Accent4 2 3 2 3" xfId="4947" xr:uid="{00000000-0005-0000-0000-00000F020000}"/>
    <cellStyle name="20% - Accent4 2 3 2 3 2" xfId="13386" xr:uid="{96CF8C9A-F2A3-4243-A1B2-E480D9EB3B22}"/>
    <cellStyle name="20% - Accent4 2 3 2 4" xfId="9168" xr:uid="{FF2BA947-1061-4420-AF52-A59F311494B2}"/>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EED84A74-8FC9-43C7-97B5-903B3618AB07}"/>
    <cellStyle name="20% - Accent4 2 3 3 2 3" xfId="11726" xr:uid="{455944D4-A207-4643-A1B6-04816F5A95A1}"/>
    <cellStyle name="20% - Accent4 2 3 3 3" xfId="5360" xr:uid="{00000000-0005-0000-0000-000013020000}"/>
    <cellStyle name="20% - Accent4 2 3 3 3 2" xfId="13799" xr:uid="{9F07655C-BF33-4858-B366-1988E1AF7505}"/>
    <cellStyle name="20% - Accent4 2 3 3 4" xfId="9581" xr:uid="{CEB36316-10DF-4856-8162-8FE4B000F452}"/>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9404275D-D5E3-4F12-B674-49EA50E2D005}"/>
    <cellStyle name="20% - Accent4 2 3 4 2 3" xfId="12139" xr:uid="{872B0469-9DFC-4E0F-9D21-941C5D0AA5C4}"/>
    <cellStyle name="20% - Accent4 2 3 4 3" xfId="5773" xr:uid="{00000000-0005-0000-0000-000017020000}"/>
    <cellStyle name="20% - Accent4 2 3 4 3 2" xfId="14212" xr:uid="{D2837EEF-4091-46D5-9CB5-9F3110F70A82}"/>
    <cellStyle name="20% - Accent4 2 3 4 4" xfId="9994" xr:uid="{B8798F8E-996A-4693-AB23-C7B9378F2577}"/>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D1EE8754-CF4C-463A-8BF8-A990BB099C85}"/>
    <cellStyle name="20% - Accent4 2 3 5 2 3" xfId="12552" xr:uid="{A5F047FA-DEBE-4877-AFFB-1DF95024A36A}"/>
    <cellStyle name="20% - Accent4 2 3 5 3" xfId="6186" xr:uid="{00000000-0005-0000-0000-00001B020000}"/>
    <cellStyle name="20% - Accent4 2 3 5 3 2" xfId="14625" xr:uid="{46990E11-D8F8-420D-B0A5-05E8BB88E41D}"/>
    <cellStyle name="20% - Accent4 2 3 5 4" xfId="10407" xr:uid="{722A352B-25D5-4EA4-A73F-20A3CFCDB663}"/>
    <cellStyle name="20% - Accent4 2 3 6" xfId="2292" xr:uid="{00000000-0005-0000-0000-00001C020000}"/>
    <cellStyle name="20% - Accent4 2 3 6 2" xfId="6599" xr:uid="{00000000-0005-0000-0000-00001D020000}"/>
    <cellStyle name="20% - Accent4 2 3 6 2 2" xfId="15038" xr:uid="{17803588-321B-494B-9619-4C04232E3853}"/>
    <cellStyle name="20% - Accent4 2 3 6 3" xfId="10820" xr:uid="{44A4DE39-8FFF-4997-9D1B-4BE414574EC5}"/>
    <cellStyle name="20% - Accent4 2 3 7" xfId="4533" xr:uid="{00000000-0005-0000-0000-00001E020000}"/>
    <cellStyle name="20% - Accent4 2 3 7 2" xfId="12972" xr:uid="{7FFE0626-B6EF-4BB4-97AA-16C50590FA13}"/>
    <cellStyle name="20% - Accent4 2 3 8" xfId="8754" xr:uid="{425FEB5C-7E33-4E8A-A6BE-EA76FFDA1D57}"/>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FB599ADF-F0E8-4F1E-BE93-025585F6A278}"/>
    <cellStyle name="20% - Accent4 2 4 2 3" xfId="11310" xr:uid="{51C8D343-C3CE-4E3C-B267-CB90EB0630D5}"/>
    <cellStyle name="20% - Accent4 2 4 3" xfId="4944" xr:uid="{00000000-0005-0000-0000-000022020000}"/>
    <cellStyle name="20% - Accent4 2 4 3 2" xfId="13383" xr:uid="{1440351B-37A0-4F55-90E5-56D553361535}"/>
    <cellStyle name="20% - Accent4 2 4 4" xfId="9165" xr:uid="{A5886D6B-42C7-49E3-B78D-EBAB9D9A0823}"/>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ECCA230F-2E1B-4597-AA01-129F0833874C}"/>
    <cellStyle name="20% - Accent4 2 5 2 3" xfId="11723" xr:uid="{9E762849-E6FE-4ED3-9D30-191FEB738A75}"/>
    <cellStyle name="20% - Accent4 2 5 3" xfId="5357" xr:uid="{00000000-0005-0000-0000-000026020000}"/>
    <cellStyle name="20% - Accent4 2 5 3 2" xfId="13796" xr:uid="{8EF4AFDD-7D74-4CE0-9C0C-FF46FED6D23F}"/>
    <cellStyle name="20% - Accent4 2 5 4" xfId="9578" xr:uid="{F50B55B5-D10A-42F1-903C-0E5CA9B7D050}"/>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1FBCE729-3978-4A17-867B-65A4E5A26DD1}"/>
    <cellStyle name="20% - Accent4 2 6 2 3" xfId="12136" xr:uid="{E8194B2E-380E-4F64-807B-E28B498F4E8A}"/>
    <cellStyle name="20% - Accent4 2 6 3" xfId="5770" xr:uid="{00000000-0005-0000-0000-00002A020000}"/>
    <cellStyle name="20% - Accent4 2 6 3 2" xfId="14209" xr:uid="{CA99EC88-EB9A-422A-A1D0-5C58EDABD4D1}"/>
    <cellStyle name="20% - Accent4 2 6 4" xfId="9991" xr:uid="{260451BD-6C8B-445F-AF63-103B26B0EBC9}"/>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10A5135E-2027-4981-8B3A-A240A00350EC}"/>
    <cellStyle name="20% - Accent4 2 7 2 3" xfId="12549" xr:uid="{10F39F1B-12E9-463D-AC38-7C7407C3A7C5}"/>
    <cellStyle name="20% - Accent4 2 7 3" xfId="6183" xr:uid="{00000000-0005-0000-0000-00002E020000}"/>
    <cellStyle name="20% - Accent4 2 7 3 2" xfId="14622" xr:uid="{12424582-FA51-4A20-A7E4-10DF3F2E37C3}"/>
    <cellStyle name="20% - Accent4 2 7 4" xfId="10404" xr:uid="{B8DA79F5-DBE6-4F2C-82A2-16941B9BF3E5}"/>
    <cellStyle name="20% - Accent4 2 8" xfId="2289" xr:uid="{00000000-0005-0000-0000-00002F020000}"/>
    <cellStyle name="20% - Accent4 2 8 2" xfId="6596" xr:uid="{00000000-0005-0000-0000-000030020000}"/>
    <cellStyle name="20% - Accent4 2 8 2 2" xfId="15035" xr:uid="{E7B43DC1-BA76-4842-A338-5C4BF679FAE0}"/>
    <cellStyle name="20% - Accent4 2 8 3" xfId="10817" xr:uid="{04AF9B19-D71F-4F07-BF9B-9B8E9BF175D8}"/>
    <cellStyle name="20% - Accent4 2 9" xfId="4530" xr:uid="{00000000-0005-0000-0000-000031020000}"/>
    <cellStyle name="20% - Accent4 2 9 2" xfId="12969" xr:uid="{929F54A7-695A-47D7-9527-80989AF1336F}"/>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029C256A-2E6B-4633-AE7A-C441247FC939}"/>
    <cellStyle name="20% - Accent4 3 2 2 2 3" xfId="11315" xr:uid="{A3891A5B-EA57-4DC7-9652-9E64EBC47987}"/>
    <cellStyle name="20% - Accent4 3 2 2 3" xfId="4949" xr:uid="{00000000-0005-0000-0000-000037020000}"/>
    <cellStyle name="20% - Accent4 3 2 2 3 2" xfId="13388" xr:uid="{0F9495D2-A4C6-44E2-8E09-DFB11BA1C685}"/>
    <cellStyle name="20% - Accent4 3 2 2 4" xfId="9170" xr:uid="{19F9DE4A-0946-405F-B48D-2FC113C5FC84}"/>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BF7E8D89-AE09-40AF-BA80-B248FAAF2ED4}"/>
    <cellStyle name="20% - Accent4 3 2 3 2 3" xfId="11728" xr:uid="{A2E4D6D6-607E-40D2-AA05-6358B4957609}"/>
    <cellStyle name="20% - Accent4 3 2 3 3" xfId="5362" xr:uid="{00000000-0005-0000-0000-00003B020000}"/>
    <cellStyle name="20% - Accent4 3 2 3 3 2" xfId="13801" xr:uid="{780A8F28-6DDD-4D5C-916E-5A1224FE688F}"/>
    <cellStyle name="20% - Accent4 3 2 3 4" xfId="9583" xr:uid="{986231FC-D734-49C5-B705-E2668230C5E4}"/>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86BCD179-85B0-4035-8A71-662661DC5756}"/>
    <cellStyle name="20% - Accent4 3 2 4 2 3" xfId="12141" xr:uid="{92CD5D23-CD00-4C0B-87B9-BFE7086E6370}"/>
    <cellStyle name="20% - Accent4 3 2 4 3" xfId="5775" xr:uid="{00000000-0005-0000-0000-00003F020000}"/>
    <cellStyle name="20% - Accent4 3 2 4 3 2" xfId="14214" xr:uid="{2DE08271-95AE-44C0-8D85-AE04D7DC33D2}"/>
    <cellStyle name="20% - Accent4 3 2 4 4" xfId="9996" xr:uid="{E61F4ED3-0619-4CF5-BDE4-868FD6DD8FA8}"/>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4381B85F-DE7B-49BE-8FDD-58F1454A7E07}"/>
    <cellStyle name="20% - Accent4 3 2 5 2 3" xfId="12554" xr:uid="{68BFE133-A655-4E0B-ACE2-B5D4BEA3A249}"/>
    <cellStyle name="20% - Accent4 3 2 5 3" xfId="6188" xr:uid="{00000000-0005-0000-0000-000043020000}"/>
    <cellStyle name="20% - Accent4 3 2 5 3 2" xfId="14627" xr:uid="{3A9E8E08-E424-4247-8B18-3E124789C669}"/>
    <cellStyle name="20% - Accent4 3 2 5 4" xfId="10409" xr:uid="{9DB762FF-D16E-420B-B86C-13F09F220EF0}"/>
    <cellStyle name="20% - Accent4 3 2 6" xfId="2294" xr:uid="{00000000-0005-0000-0000-000044020000}"/>
    <cellStyle name="20% - Accent4 3 2 6 2" xfId="6601" xr:uid="{00000000-0005-0000-0000-000045020000}"/>
    <cellStyle name="20% - Accent4 3 2 6 2 2" xfId="15040" xr:uid="{181B0CF7-1CE6-4181-9E9C-4C817BA0B58B}"/>
    <cellStyle name="20% - Accent4 3 2 6 3" xfId="10822" xr:uid="{F4574E0B-2329-4707-8CC1-26043B3D1705}"/>
    <cellStyle name="20% - Accent4 3 2 7" xfId="4535" xr:uid="{00000000-0005-0000-0000-000046020000}"/>
    <cellStyle name="20% - Accent4 3 2 7 2" xfId="12974" xr:uid="{7C168322-D934-4E2C-B1CD-C827929DAB24}"/>
    <cellStyle name="20% - Accent4 3 2 8" xfId="8756" xr:uid="{0473802F-1DCA-4A2A-9AC1-8DB2DF9D0B75}"/>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050BFEFC-8882-4A1D-9935-9CC56A3CF7CE}"/>
    <cellStyle name="20% - Accent4 3 3 2 3" xfId="11314" xr:uid="{656496F9-A1B7-4E00-AFF4-5141CD3D18D7}"/>
    <cellStyle name="20% - Accent4 3 3 3" xfId="4948" xr:uid="{00000000-0005-0000-0000-00004A020000}"/>
    <cellStyle name="20% - Accent4 3 3 3 2" xfId="13387" xr:uid="{5028B34F-96A9-427F-BF1A-50E085893702}"/>
    <cellStyle name="20% - Accent4 3 3 4" xfId="9169" xr:uid="{947CE7E8-C085-44C9-AAFF-A8EEB59A9EFA}"/>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46BC1CE8-BDFE-4904-9208-42D25D53FDAA}"/>
    <cellStyle name="20% - Accent4 3 4 2 3" xfId="11727" xr:uid="{00FD15AA-8E78-43C0-BE04-F000A84A66CD}"/>
    <cellStyle name="20% - Accent4 3 4 3" xfId="5361" xr:uid="{00000000-0005-0000-0000-00004E020000}"/>
    <cellStyle name="20% - Accent4 3 4 3 2" xfId="13800" xr:uid="{14F24235-AC65-4736-9A04-7D6650A9E9D1}"/>
    <cellStyle name="20% - Accent4 3 4 4" xfId="9582" xr:uid="{67F51B7D-40B4-41C0-8D15-0F1B63613117}"/>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BAC38D84-7DBD-4FD5-8A5C-D9D11F3AD570}"/>
    <cellStyle name="20% - Accent4 3 5 2 3" xfId="12140" xr:uid="{349D5A81-5A80-4F6C-AC77-FB3722405E65}"/>
    <cellStyle name="20% - Accent4 3 5 3" xfId="5774" xr:uid="{00000000-0005-0000-0000-000052020000}"/>
    <cellStyle name="20% - Accent4 3 5 3 2" xfId="14213" xr:uid="{12B5D13F-D1D2-40E3-8860-3A4A06D748CF}"/>
    <cellStyle name="20% - Accent4 3 5 4" xfId="9995" xr:uid="{C22817D3-788A-47C0-98D4-C526AEBE80EB}"/>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C80C7C87-5279-45AA-AF94-8E00DA5051F9}"/>
    <cellStyle name="20% - Accent4 3 6 2 3" xfId="12553" xr:uid="{8C148B3F-C43A-4E19-B417-460DA8977D8E}"/>
    <cellStyle name="20% - Accent4 3 6 3" xfId="6187" xr:uid="{00000000-0005-0000-0000-000056020000}"/>
    <cellStyle name="20% - Accent4 3 6 3 2" xfId="14626" xr:uid="{2E008B51-F164-4D50-8966-9EF3FB28FD62}"/>
    <cellStyle name="20% - Accent4 3 6 4" xfId="10408" xr:uid="{DB93FFC5-4257-4DE4-8961-E84069CD94AE}"/>
    <cellStyle name="20% - Accent4 3 7" xfId="2293" xr:uid="{00000000-0005-0000-0000-000057020000}"/>
    <cellStyle name="20% - Accent4 3 7 2" xfId="6600" xr:uid="{00000000-0005-0000-0000-000058020000}"/>
    <cellStyle name="20% - Accent4 3 7 2 2" xfId="15039" xr:uid="{3F21ABC4-1256-46CA-947C-03BF798584AB}"/>
    <cellStyle name="20% - Accent4 3 7 3" xfId="10821" xr:uid="{B74C43B2-269D-412A-8170-C921FE2757E5}"/>
    <cellStyle name="20% - Accent4 3 8" xfId="4534" xr:uid="{00000000-0005-0000-0000-000059020000}"/>
    <cellStyle name="20% - Accent4 3 8 2" xfId="12973" xr:uid="{4C856EF9-781D-4DFE-8D20-6E371CAFDF77}"/>
    <cellStyle name="20% - Accent4 3 9" xfId="8755" xr:uid="{D096EAE6-F357-4A91-BF68-E65D3835C503}"/>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67A91A50-9178-4FF5-AD48-3B6FF8C474A5}"/>
    <cellStyle name="20% - Accent4 4 2 2 3" xfId="11316" xr:uid="{6E4B82AF-5DDE-45C2-AD9D-E5AF876FD32E}"/>
    <cellStyle name="20% - Accent4 4 2 3" xfId="4950" xr:uid="{00000000-0005-0000-0000-00005E020000}"/>
    <cellStyle name="20% - Accent4 4 2 3 2" xfId="13389" xr:uid="{6A845683-2A25-46B2-BC17-664DFC356A37}"/>
    <cellStyle name="20% - Accent4 4 2 4" xfId="9171" xr:uid="{3E83A9A5-4A71-4601-9475-A7837179A45E}"/>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06904C5D-A26B-4411-81D6-5310A69874CA}"/>
    <cellStyle name="20% - Accent4 4 3 2 3" xfId="11729" xr:uid="{6FF474D5-0C92-42E2-9716-F122E3062061}"/>
    <cellStyle name="20% - Accent4 4 3 3" xfId="5363" xr:uid="{00000000-0005-0000-0000-000062020000}"/>
    <cellStyle name="20% - Accent4 4 3 3 2" xfId="13802" xr:uid="{77F0E950-E9D2-42D5-9531-825CB204DB9E}"/>
    <cellStyle name="20% - Accent4 4 3 4" xfId="9584" xr:uid="{73EECAA4-7BDF-4EE8-89A7-4C1649823351}"/>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566894FF-F075-42EF-876A-A09B387FAEE3}"/>
    <cellStyle name="20% - Accent4 4 4 2 3" xfId="12142" xr:uid="{28383B7E-1C41-405D-85FA-AE634236B8B6}"/>
    <cellStyle name="20% - Accent4 4 4 3" xfId="5776" xr:uid="{00000000-0005-0000-0000-000066020000}"/>
    <cellStyle name="20% - Accent4 4 4 3 2" xfId="14215" xr:uid="{11FCBCA8-49A3-47FF-99B3-E5611E713B8E}"/>
    <cellStyle name="20% - Accent4 4 4 4" xfId="9997" xr:uid="{C8B97E5E-1BA8-4F5F-AC79-481E7C84AC11}"/>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FD234803-B477-4FAB-8E2E-D423CD1CB152}"/>
    <cellStyle name="20% - Accent4 4 5 2 3" xfId="12555" xr:uid="{2BE617AA-4841-4F7E-82CC-634B102BD05F}"/>
    <cellStyle name="20% - Accent4 4 5 3" xfId="6189" xr:uid="{00000000-0005-0000-0000-00006A020000}"/>
    <cellStyle name="20% - Accent4 4 5 3 2" xfId="14628" xr:uid="{7188EB69-4DDC-4430-97ED-CC56F0B3A07D}"/>
    <cellStyle name="20% - Accent4 4 5 4" xfId="10410" xr:uid="{7091FBB9-30D4-4C45-82E2-52D3FC2F5629}"/>
    <cellStyle name="20% - Accent4 4 6" xfId="2295" xr:uid="{00000000-0005-0000-0000-00006B020000}"/>
    <cellStyle name="20% - Accent4 4 6 2" xfId="6602" xr:uid="{00000000-0005-0000-0000-00006C020000}"/>
    <cellStyle name="20% - Accent4 4 6 2 2" xfId="15041" xr:uid="{98C86359-53FA-4DD4-B867-2AD46072E245}"/>
    <cellStyle name="20% - Accent4 4 6 3" xfId="10823" xr:uid="{92E98CFF-2225-40CE-8EBB-370650450ED8}"/>
    <cellStyle name="20% - Accent4 4 7" xfId="4536" xr:uid="{00000000-0005-0000-0000-00006D020000}"/>
    <cellStyle name="20% - Accent4 4 7 2" xfId="12975" xr:uid="{22E90BCB-5163-464C-A2BC-693B73823071}"/>
    <cellStyle name="20% - Accent4 4 8" xfId="8757" xr:uid="{5DEBE6B0-9318-4656-AF7F-538468AC724B}"/>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8EE64DD8-2B52-4AF9-998C-19DA1603A61A}"/>
    <cellStyle name="20% - Accent4 5 2 3" xfId="11309" xr:uid="{CDA892E6-411B-4D48-A0D6-9E67331C3E73}"/>
    <cellStyle name="20% - Accent4 5 3" xfId="4943" xr:uid="{00000000-0005-0000-0000-000071020000}"/>
    <cellStyle name="20% - Accent4 5 3 2" xfId="13382" xr:uid="{03D512FD-436E-464D-82BB-E035D0BC71EA}"/>
    <cellStyle name="20% - Accent4 5 4" xfId="9164" xr:uid="{2759F339-1BD7-467F-9CC5-96A88D28BF72}"/>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C729036A-F22E-4F13-8BAF-FC31571B4E36}"/>
    <cellStyle name="20% - Accent4 6 2 3" xfId="11722" xr:uid="{76A75116-5451-41D7-9536-932F03424B4D}"/>
    <cellStyle name="20% - Accent4 6 3" xfId="5356" xr:uid="{00000000-0005-0000-0000-000075020000}"/>
    <cellStyle name="20% - Accent4 6 3 2" xfId="13795" xr:uid="{282ABFD4-3DF5-47D6-870D-9AF88ABD76AA}"/>
    <cellStyle name="20% - Accent4 6 4" xfId="9577" xr:uid="{41B6B344-18AE-4641-B00E-DEB59AD8C550}"/>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E5BC24FC-9536-45FE-B3E2-3F84D0E152E3}"/>
    <cellStyle name="20% - Accent4 7 2 3" xfId="12135" xr:uid="{8D8F78A3-FBC6-403D-8A44-8D4F280A343B}"/>
    <cellStyle name="20% - Accent4 7 3" xfId="5769" xr:uid="{00000000-0005-0000-0000-000079020000}"/>
    <cellStyle name="20% - Accent4 7 3 2" xfId="14208" xr:uid="{707E5F12-766F-44DA-A7F6-6B055E2ED5B6}"/>
    <cellStyle name="20% - Accent4 7 4" xfId="9990" xr:uid="{0E80FBC2-9469-43B7-A9B0-F121EBE1C41F}"/>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6B8C26DD-FBDE-46C4-90E3-82ED234E3F88}"/>
    <cellStyle name="20% - Accent4 8 2 3" xfId="12548" xr:uid="{1EBECCBE-8532-463D-94D6-385710F58C55}"/>
    <cellStyle name="20% - Accent4 8 3" xfId="6182" xr:uid="{00000000-0005-0000-0000-00007D020000}"/>
    <cellStyle name="20% - Accent4 8 3 2" xfId="14621" xr:uid="{DB5E87D3-D7F0-42E2-8468-31E891B955DF}"/>
    <cellStyle name="20% - Accent4 8 4" xfId="10403" xr:uid="{9286C3A6-450E-4587-82BC-CCEB92332530}"/>
    <cellStyle name="20% - Accent4 9" xfId="2288" xr:uid="{00000000-0005-0000-0000-00007E020000}"/>
    <cellStyle name="20% - Accent4 9 2" xfId="6595" xr:uid="{00000000-0005-0000-0000-00007F020000}"/>
    <cellStyle name="20% - Accent4 9 2 2" xfId="15034" xr:uid="{B4286B4A-8E5F-4C7B-9624-B85A4363AA13}"/>
    <cellStyle name="20% - Accent4 9 3" xfId="10816" xr:uid="{3196BF92-A3EB-4C31-82A1-30F086D51F18}"/>
    <cellStyle name="20% - Accent5" xfId="33" builtinId="46" customBuiltin="1"/>
    <cellStyle name="20% - Accent5 10" xfId="4537" xr:uid="{00000000-0005-0000-0000-000081020000}"/>
    <cellStyle name="20% - Accent5 10 2" xfId="12976" xr:uid="{DA3B6C9A-F83A-4F7C-8D9A-84EF77E50C3C}"/>
    <cellStyle name="20% - Accent5 11" xfId="8758" xr:uid="{1E68F685-A7E4-4BBB-81BF-329A39C012D9}"/>
    <cellStyle name="20% - Accent5 2" xfId="34" xr:uid="{00000000-0005-0000-0000-000082020000}"/>
    <cellStyle name="20% - Accent5 2 10" xfId="8759" xr:uid="{D88F4BC5-271E-4C78-A69B-CB725E403912}"/>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3856BFC3-3E8F-48CC-8E8D-601AB3AA2308}"/>
    <cellStyle name="20% - Accent5 2 2 2 2 2 3" xfId="11320" xr:uid="{468C74E0-4CA9-4032-BA9A-52E4CE97DED4}"/>
    <cellStyle name="20% - Accent5 2 2 2 2 3" xfId="4954" xr:uid="{00000000-0005-0000-0000-000088020000}"/>
    <cellStyle name="20% - Accent5 2 2 2 2 3 2" xfId="13393" xr:uid="{6D72D37B-4D2E-45B0-A362-32519EC0F02A}"/>
    <cellStyle name="20% - Accent5 2 2 2 2 4" xfId="9175" xr:uid="{2162F382-7F3C-4107-BDAA-0D26CB9C40AC}"/>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84BE5C00-4746-4D07-B441-83879E33C102}"/>
    <cellStyle name="20% - Accent5 2 2 2 3 2 3" xfId="11733" xr:uid="{A0F01BA6-5B03-4EB2-B583-FB930A3A4633}"/>
    <cellStyle name="20% - Accent5 2 2 2 3 3" xfId="5367" xr:uid="{00000000-0005-0000-0000-00008C020000}"/>
    <cellStyle name="20% - Accent5 2 2 2 3 3 2" xfId="13806" xr:uid="{CC36B970-4CF1-4B40-80E1-A08775953C6D}"/>
    <cellStyle name="20% - Accent5 2 2 2 3 4" xfId="9588" xr:uid="{4DA4956E-427C-42D0-85B5-FF00A575B5F6}"/>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15B71DA2-1C12-4D03-87FC-3EBF585D9ECA}"/>
    <cellStyle name="20% - Accent5 2 2 2 4 2 3" xfId="12146" xr:uid="{20D2CB61-94C9-4812-BFF9-1AD1FEA16D46}"/>
    <cellStyle name="20% - Accent5 2 2 2 4 3" xfId="5780" xr:uid="{00000000-0005-0000-0000-000090020000}"/>
    <cellStyle name="20% - Accent5 2 2 2 4 3 2" xfId="14219" xr:uid="{3346DFCD-C110-4320-9C6F-A3A044208EEF}"/>
    <cellStyle name="20% - Accent5 2 2 2 4 4" xfId="10001" xr:uid="{3287FD29-A667-42BE-8855-729C904946B2}"/>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6B75FC94-2591-42A0-84DE-3CBC7B2BDECD}"/>
    <cellStyle name="20% - Accent5 2 2 2 5 2 3" xfId="12559" xr:uid="{F8C00AA4-A35B-4173-8AC0-4F8F7C4DA430}"/>
    <cellStyle name="20% - Accent5 2 2 2 5 3" xfId="6193" xr:uid="{00000000-0005-0000-0000-000094020000}"/>
    <cellStyle name="20% - Accent5 2 2 2 5 3 2" xfId="14632" xr:uid="{7C9084BD-D195-42A7-98FC-D3520FD63693}"/>
    <cellStyle name="20% - Accent5 2 2 2 5 4" xfId="10414" xr:uid="{2B85E9B3-C12E-48B1-BCC7-6F631C4F5321}"/>
    <cellStyle name="20% - Accent5 2 2 2 6" xfId="2299" xr:uid="{00000000-0005-0000-0000-000095020000}"/>
    <cellStyle name="20% - Accent5 2 2 2 6 2" xfId="6606" xr:uid="{00000000-0005-0000-0000-000096020000}"/>
    <cellStyle name="20% - Accent5 2 2 2 6 2 2" xfId="15045" xr:uid="{54B994BD-B2F9-4FDD-A482-37631DD656E5}"/>
    <cellStyle name="20% - Accent5 2 2 2 6 3" xfId="10827" xr:uid="{523CE9E2-6531-46FB-8BE3-5549EE00062B}"/>
    <cellStyle name="20% - Accent5 2 2 2 7" xfId="4540" xr:uid="{00000000-0005-0000-0000-000097020000}"/>
    <cellStyle name="20% - Accent5 2 2 2 7 2" xfId="12979" xr:uid="{12A899FE-8127-4AEB-BEFB-BE4260A182AC}"/>
    <cellStyle name="20% - Accent5 2 2 2 8" xfId="8761" xr:uid="{F8081272-3044-4BF3-A200-442E2523B868}"/>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22768409-909D-401B-B690-3B394A82FB92}"/>
    <cellStyle name="20% - Accent5 2 2 3 2 3" xfId="11319" xr:uid="{C7A1B965-5728-49DC-AC4D-0686D08FE0C7}"/>
    <cellStyle name="20% - Accent5 2 2 3 3" xfId="4953" xr:uid="{00000000-0005-0000-0000-00009B020000}"/>
    <cellStyle name="20% - Accent5 2 2 3 3 2" xfId="13392" xr:uid="{9F92D6C9-635C-4E0F-A739-78E6A52CC98C}"/>
    <cellStyle name="20% - Accent5 2 2 3 4" xfId="9174" xr:uid="{8A4147CB-D723-4F12-87D9-78F4E9DE3FD4}"/>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58A5B4AD-B90A-4824-9150-EBC46384DDB5}"/>
    <cellStyle name="20% - Accent5 2 2 4 2 3" xfId="11732" xr:uid="{AEE64817-986A-4C67-B6E4-9DED570B25B2}"/>
    <cellStyle name="20% - Accent5 2 2 4 3" xfId="5366" xr:uid="{00000000-0005-0000-0000-00009F020000}"/>
    <cellStyle name="20% - Accent5 2 2 4 3 2" xfId="13805" xr:uid="{D702A6BE-3653-4964-82A4-4232228BB102}"/>
    <cellStyle name="20% - Accent5 2 2 4 4" xfId="9587" xr:uid="{6A84727C-29F5-4C2B-82EF-27EA202ECD39}"/>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4E0FD2AF-50B5-4773-9512-A393C275E80E}"/>
    <cellStyle name="20% - Accent5 2 2 5 2 3" xfId="12145" xr:uid="{4CEB61CD-D6A6-4BBD-9BB0-2740CA9749FD}"/>
    <cellStyle name="20% - Accent5 2 2 5 3" xfId="5779" xr:uid="{00000000-0005-0000-0000-0000A3020000}"/>
    <cellStyle name="20% - Accent5 2 2 5 3 2" xfId="14218" xr:uid="{EEF59874-6849-4384-A043-426217D7B409}"/>
    <cellStyle name="20% - Accent5 2 2 5 4" xfId="10000" xr:uid="{2C134219-4D12-43A9-9D95-5481EF879D6F}"/>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B48C03B9-C912-4580-AB7E-CB2FF4434A97}"/>
    <cellStyle name="20% - Accent5 2 2 6 2 3" xfId="12558" xr:uid="{334C697F-4D8C-49B9-888F-6C5D4BE2822D}"/>
    <cellStyle name="20% - Accent5 2 2 6 3" xfId="6192" xr:uid="{00000000-0005-0000-0000-0000A7020000}"/>
    <cellStyle name="20% - Accent5 2 2 6 3 2" xfId="14631" xr:uid="{5CA87DE3-ECA0-4F94-B7FA-D6F6BAC98F09}"/>
    <cellStyle name="20% - Accent5 2 2 6 4" xfId="10413" xr:uid="{E056DE89-29BE-471E-9E12-B1D370134A20}"/>
    <cellStyle name="20% - Accent5 2 2 7" xfId="2298" xr:uid="{00000000-0005-0000-0000-0000A8020000}"/>
    <cellStyle name="20% - Accent5 2 2 7 2" xfId="6605" xr:uid="{00000000-0005-0000-0000-0000A9020000}"/>
    <cellStyle name="20% - Accent5 2 2 7 2 2" xfId="15044" xr:uid="{7B770953-B399-40F7-88DC-85E8D8DEFCC0}"/>
    <cellStyle name="20% - Accent5 2 2 7 3" xfId="10826" xr:uid="{3649C72F-F9E1-43BC-881F-CC198C4DE507}"/>
    <cellStyle name="20% - Accent5 2 2 8" xfId="4539" xr:uid="{00000000-0005-0000-0000-0000AA020000}"/>
    <cellStyle name="20% - Accent5 2 2 8 2" xfId="12978" xr:uid="{849C9E92-351C-4EAB-B5DB-120B6501F6B8}"/>
    <cellStyle name="20% - Accent5 2 2 9" xfId="8760" xr:uid="{E68CDBF3-8A22-4E47-9548-355BC94341EA}"/>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6EAED709-F664-423B-86C8-69014A888017}"/>
    <cellStyle name="20% - Accent5 2 3 2 2 3" xfId="11321" xr:uid="{77C45A16-717B-480B-8EB6-9C4E29D96DC4}"/>
    <cellStyle name="20% - Accent5 2 3 2 3" xfId="4955" xr:uid="{00000000-0005-0000-0000-0000AF020000}"/>
    <cellStyle name="20% - Accent5 2 3 2 3 2" xfId="13394" xr:uid="{012FAF19-5991-42EC-9EC3-B67183C4C88E}"/>
    <cellStyle name="20% - Accent5 2 3 2 4" xfId="9176" xr:uid="{CD3E8D9E-111D-48EC-BD35-CAB0786C0A20}"/>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1877B52F-D6EB-46C4-8D04-5D7991A17768}"/>
    <cellStyle name="20% - Accent5 2 3 3 2 3" xfId="11734" xr:uid="{A2EF9EF3-3800-4D30-A337-24363E2B91F4}"/>
    <cellStyle name="20% - Accent5 2 3 3 3" xfId="5368" xr:uid="{00000000-0005-0000-0000-0000B3020000}"/>
    <cellStyle name="20% - Accent5 2 3 3 3 2" xfId="13807" xr:uid="{818B1345-FD89-48B2-8A02-E1E45B3E7048}"/>
    <cellStyle name="20% - Accent5 2 3 3 4" xfId="9589" xr:uid="{86A1192A-2C2A-4FE9-BD3A-33CED44C15A2}"/>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5BD20A16-D7E6-4501-949F-AD2692CD5E58}"/>
    <cellStyle name="20% - Accent5 2 3 4 2 3" xfId="12147" xr:uid="{30C3FF3E-4E32-4FDF-A32D-8706803979F9}"/>
    <cellStyle name="20% - Accent5 2 3 4 3" xfId="5781" xr:uid="{00000000-0005-0000-0000-0000B7020000}"/>
    <cellStyle name="20% - Accent5 2 3 4 3 2" xfId="14220" xr:uid="{21A5C928-2210-41EE-B145-E7E0ED24CFE4}"/>
    <cellStyle name="20% - Accent5 2 3 4 4" xfId="10002" xr:uid="{EDFD70E7-45E5-4C5D-AEE2-DCF4E9FF3340}"/>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3AE841DF-A672-457A-A9C8-16D9921F1E63}"/>
    <cellStyle name="20% - Accent5 2 3 5 2 3" xfId="12560" xr:uid="{BF1C7758-53A0-4A4D-ACE1-CE92D4541238}"/>
    <cellStyle name="20% - Accent5 2 3 5 3" xfId="6194" xr:uid="{00000000-0005-0000-0000-0000BB020000}"/>
    <cellStyle name="20% - Accent5 2 3 5 3 2" xfId="14633" xr:uid="{2808C923-610C-42C2-815F-B0B1FEE9FDAE}"/>
    <cellStyle name="20% - Accent5 2 3 5 4" xfId="10415" xr:uid="{02246DA2-0508-4DA6-8837-EC790AB263E3}"/>
    <cellStyle name="20% - Accent5 2 3 6" xfId="2300" xr:uid="{00000000-0005-0000-0000-0000BC020000}"/>
    <cellStyle name="20% - Accent5 2 3 6 2" xfId="6607" xr:uid="{00000000-0005-0000-0000-0000BD020000}"/>
    <cellStyle name="20% - Accent5 2 3 6 2 2" xfId="15046" xr:uid="{C2B63D7D-BD9A-4E5B-A2C7-328C4C8C4571}"/>
    <cellStyle name="20% - Accent5 2 3 6 3" xfId="10828" xr:uid="{CA57B2C4-A94F-4454-9C9F-6D99AAB0DD9E}"/>
    <cellStyle name="20% - Accent5 2 3 7" xfId="4541" xr:uid="{00000000-0005-0000-0000-0000BE020000}"/>
    <cellStyle name="20% - Accent5 2 3 7 2" xfId="12980" xr:uid="{A5D1532D-F6FF-4195-8B65-68FF92C37880}"/>
    <cellStyle name="20% - Accent5 2 3 8" xfId="8762" xr:uid="{52328986-CB32-44E5-94F5-8CDDA13B5009}"/>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33886ECD-9868-4DF4-AF50-AA4C6F501F35}"/>
    <cellStyle name="20% - Accent5 2 4 2 3" xfId="11318" xr:uid="{7F239AB2-DC91-47D3-B03B-7C7FD5A9D845}"/>
    <cellStyle name="20% - Accent5 2 4 3" xfId="4952" xr:uid="{00000000-0005-0000-0000-0000C2020000}"/>
    <cellStyle name="20% - Accent5 2 4 3 2" xfId="13391" xr:uid="{14D8AE85-4FEB-441F-A19E-2884FAEBD927}"/>
    <cellStyle name="20% - Accent5 2 4 4" xfId="9173" xr:uid="{6C1303A3-FE0B-4F5C-B92D-3D037A46D6A9}"/>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52F935D8-925B-400E-A7D0-1601447051E0}"/>
    <cellStyle name="20% - Accent5 2 5 2 3" xfId="11731" xr:uid="{4F03A8F2-0A67-4F6E-9D74-EB1D25BC07DD}"/>
    <cellStyle name="20% - Accent5 2 5 3" xfId="5365" xr:uid="{00000000-0005-0000-0000-0000C6020000}"/>
    <cellStyle name="20% - Accent5 2 5 3 2" xfId="13804" xr:uid="{B1ED180C-47DF-441E-9EA9-A3AAB1986633}"/>
    <cellStyle name="20% - Accent5 2 5 4" xfId="9586" xr:uid="{4F28FBD6-4C5C-4508-8F0B-CDCCB7D7252B}"/>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7FA92758-33FE-41C9-982E-6F31989553A5}"/>
    <cellStyle name="20% - Accent5 2 6 2 3" xfId="12144" xr:uid="{82CA2B0D-0A69-437A-B9B2-1122AB8840D0}"/>
    <cellStyle name="20% - Accent5 2 6 3" xfId="5778" xr:uid="{00000000-0005-0000-0000-0000CA020000}"/>
    <cellStyle name="20% - Accent5 2 6 3 2" xfId="14217" xr:uid="{C9B7B19D-24CF-4288-B3E0-BFCE8637827B}"/>
    <cellStyle name="20% - Accent5 2 6 4" xfId="9999" xr:uid="{42512A71-34EA-4FC5-91D8-A0D5BDD05C40}"/>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3D1CB9FF-136D-46E2-AD59-AF052FA4771F}"/>
    <cellStyle name="20% - Accent5 2 7 2 3" xfId="12557" xr:uid="{87BFDF9F-F087-433E-BA6E-3DC59140D02A}"/>
    <cellStyle name="20% - Accent5 2 7 3" xfId="6191" xr:uid="{00000000-0005-0000-0000-0000CE020000}"/>
    <cellStyle name="20% - Accent5 2 7 3 2" xfId="14630" xr:uid="{5B002373-5C5E-4F5D-B8F1-AFA59AF1A517}"/>
    <cellStyle name="20% - Accent5 2 7 4" xfId="10412" xr:uid="{FD1474BA-7CC7-4AC7-945A-20BA84F56BFB}"/>
    <cellStyle name="20% - Accent5 2 8" xfId="2297" xr:uid="{00000000-0005-0000-0000-0000CF020000}"/>
    <cellStyle name="20% - Accent5 2 8 2" xfId="6604" xr:uid="{00000000-0005-0000-0000-0000D0020000}"/>
    <cellStyle name="20% - Accent5 2 8 2 2" xfId="15043" xr:uid="{CD76DE85-9CAA-46B7-98C6-1BA080611E96}"/>
    <cellStyle name="20% - Accent5 2 8 3" xfId="10825" xr:uid="{D3BDB3B9-62CD-4208-8433-362C348DF7A8}"/>
    <cellStyle name="20% - Accent5 2 9" xfId="4538" xr:uid="{00000000-0005-0000-0000-0000D1020000}"/>
    <cellStyle name="20% - Accent5 2 9 2" xfId="12977" xr:uid="{C2EDC07E-CDC0-4718-B434-4EBC41572B58}"/>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FA7BAB83-87B1-4B35-82D0-59F2D280D2CA}"/>
    <cellStyle name="20% - Accent5 3 2 2 2 3" xfId="11323" xr:uid="{4ADA0EDB-8B0F-4F44-BC38-9190D5BCF264}"/>
    <cellStyle name="20% - Accent5 3 2 2 3" xfId="4957" xr:uid="{00000000-0005-0000-0000-0000D7020000}"/>
    <cellStyle name="20% - Accent5 3 2 2 3 2" xfId="13396" xr:uid="{62207688-C292-4AB2-A202-A4985479D38E}"/>
    <cellStyle name="20% - Accent5 3 2 2 4" xfId="9178" xr:uid="{A89AE059-805A-43C0-B3BB-6E1A84083FA6}"/>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B2A672BB-F93A-4598-978D-7083F036EB33}"/>
    <cellStyle name="20% - Accent5 3 2 3 2 3" xfId="11736" xr:uid="{94DDF03A-AE98-40A0-8D5B-C6611A45E9C1}"/>
    <cellStyle name="20% - Accent5 3 2 3 3" xfId="5370" xr:uid="{00000000-0005-0000-0000-0000DB020000}"/>
    <cellStyle name="20% - Accent5 3 2 3 3 2" xfId="13809" xr:uid="{C1E629ED-9FBF-4895-8FB2-DF2DDB78F056}"/>
    <cellStyle name="20% - Accent5 3 2 3 4" xfId="9591" xr:uid="{B982EF29-75BC-42B0-B138-7021558B799D}"/>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0C584C6C-5968-47F8-AFBB-1421685471FB}"/>
    <cellStyle name="20% - Accent5 3 2 4 2 3" xfId="12149" xr:uid="{76F3A146-1556-4960-B59B-0F05ACCE1BC2}"/>
    <cellStyle name="20% - Accent5 3 2 4 3" xfId="5783" xr:uid="{00000000-0005-0000-0000-0000DF020000}"/>
    <cellStyle name="20% - Accent5 3 2 4 3 2" xfId="14222" xr:uid="{1ADCF187-994A-47CA-BCF7-E93F2967D75E}"/>
    <cellStyle name="20% - Accent5 3 2 4 4" xfId="10004" xr:uid="{587556EE-8923-4C6C-9F4B-A6CFD7E4DF27}"/>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DC13CB13-2630-4A8D-97FF-5D7E68C9F0AD}"/>
    <cellStyle name="20% - Accent5 3 2 5 2 3" xfId="12562" xr:uid="{3E75EB6D-4F47-427C-BE64-2362D95E1F4B}"/>
    <cellStyle name="20% - Accent5 3 2 5 3" xfId="6196" xr:uid="{00000000-0005-0000-0000-0000E3020000}"/>
    <cellStyle name="20% - Accent5 3 2 5 3 2" xfId="14635" xr:uid="{B2D20E96-F330-44DB-A819-B7CA3D408366}"/>
    <cellStyle name="20% - Accent5 3 2 5 4" xfId="10417" xr:uid="{1161A6E8-61F7-4E03-BE2B-22C50D1D7AFC}"/>
    <cellStyle name="20% - Accent5 3 2 6" xfId="2302" xr:uid="{00000000-0005-0000-0000-0000E4020000}"/>
    <cellStyle name="20% - Accent5 3 2 6 2" xfId="6609" xr:uid="{00000000-0005-0000-0000-0000E5020000}"/>
    <cellStyle name="20% - Accent5 3 2 6 2 2" xfId="15048" xr:uid="{A02DD1A8-3D80-475E-8684-8E374BE2E798}"/>
    <cellStyle name="20% - Accent5 3 2 6 3" xfId="10830" xr:uid="{2D5231AA-58FD-49A8-81F9-6F3F567734F7}"/>
    <cellStyle name="20% - Accent5 3 2 7" xfId="4543" xr:uid="{00000000-0005-0000-0000-0000E6020000}"/>
    <cellStyle name="20% - Accent5 3 2 7 2" xfId="12982" xr:uid="{97CEDE46-E5C9-425F-A234-8F7081513045}"/>
    <cellStyle name="20% - Accent5 3 2 8" xfId="8764" xr:uid="{988C1A5E-62D3-4363-9D52-A7A2F07EBE8D}"/>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F09723F5-BD23-44A5-8219-1622C3F340A5}"/>
    <cellStyle name="20% - Accent5 3 3 2 3" xfId="11322" xr:uid="{E24606CD-8D25-45EC-92A1-1D9523C41B38}"/>
    <cellStyle name="20% - Accent5 3 3 3" xfId="4956" xr:uid="{00000000-0005-0000-0000-0000EA020000}"/>
    <cellStyle name="20% - Accent5 3 3 3 2" xfId="13395" xr:uid="{24D2CD53-0BFE-4F25-9E74-437C03E8A8C5}"/>
    <cellStyle name="20% - Accent5 3 3 4" xfId="9177" xr:uid="{7B2871B6-5743-4A13-B4B1-A10A9BFB1382}"/>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457FFBE4-3495-48D1-9BC2-DEE968F88547}"/>
    <cellStyle name="20% - Accent5 3 4 2 3" xfId="11735" xr:uid="{DA0A4B93-2A0B-4988-9A83-8003534E05FB}"/>
    <cellStyle name="20% - Accent5 3 4 3" xfId="5369" xr:uid="{00000000-0005-0000-0000-0000EE020000}"/>
    <cellStyle name="20% - Accent5 3 4 3 2" xfId="13808" xr:uid="{F81A48BD-B711-4C1F-891F-2656C4167CC6}"/>
    <cellStyle name="20% - Accent5 3 4 4" xfId="9590" xr:uid="{71631FD5-06D4-446E-96AE-D03D86EEC622}"/>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3738141D-1B77-4A2A-953E-097AAE8BEF45}"/>
    <cellStyle name="20% - Accent5 3 5 2 3" xfId="12148" xr:uid="{811AF4B3-E626-4F4E-BBE5-753BA8DE7E32}"/>
    <cellStyle name="20% - Accent5 3 5 3" xfId="5782" xr:uid="{00000000-0005-0000-0000-0000F2020000}"/>
    <cellStyle name="20% - Accent5 3 5 3 2" xfId="14221" xr:uid="{19AA7B52-0196-4F24-841F-EBA80D033BD1}"/>
    <cellStyle name="20% - Accent5 3 5 4" xfId="10003" xr:uid="{759590A2-66F2-405D-9FBE-4234CF94F67E}"/>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A71A2307-2CD5-44DF-9675-9F050428E80E}"/>
    <cellStyle name="20% - Accent5 3 6 2 3" xfId="12561" xr:uid="{61AC44F4-4810-4063-B26B-A6A4D09C50FA}"/>
    <cellStyle name="20% - Accent5 3 6 3" xfId="6195" xr:uid="{00000000-0005-0000-0000-0000F6020000}"/>
    <cellStyle name="20% - Accent5 3 6 3 2" xfId="14634" xr:uid="{462229D1-B02F-45EC-983B-8DB0AFE6E8DB}"/>
    <cellStyle name="20% - Accent5 3 6 4" xfId="10416" xr:uid="{230D98A7-9E1A-4CE8-B241-5C6269B371F3}"/>
    <cellStyle name="20% - Accent5 3 7" xfId="2301" xr:uid="{00000000-0005-0000-0000-0000F7020000}"/>
    <cellStyle name="20% - Accent5 3 7 2" xfId="6608" xr:uid="{00000000-0005-0000-0000-0000F8020000}"/>
    <cellStyle name="20% - Accent5 3 7 2 2" xfId="15047" xr:uid="{45C285E7-6B2B-4706-B1D5-F22B4D9B62FD}"/>
    <cellStyle name="20% - Accent5 3 7 3" xfId="10829" xr:uid="{92373E85-4109-4FBB-807E-779B7EDADF5A}"/>
    <cellStyle name="20% - Accent5 3 8" xfId="4542" xr:uid="{00000000-0005-0000-0000-0000F9020000}"/>
    <cellStyle name="20% - Accent5 3 8 2" xfId="12981" xr:uid="{3ACD0D7A-96AB-4EF0-85E9-87740E37B8F7}"/>
    <cellStyle name="20% - Accent5 3 9" xfId="8763" xr:uid="{6A3A891E-7A65-44B4-ACC2-C856071C8DC4}"/>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F09EB970-DEE6-4A57-A337-FF5A3C1CDB3B}"/>
    <cellStyle name="20% - Accent5 4 2 2 3" xfId="11324" xr:uid="{382DAF42-DC78-4CD6-BAFD-588327B469E7}"/>
    <cellStyle name="20% - Accent5 4 2 3" xfId="4958" xr:uid="{00000000-0005-0000-0000-0000FE020000}"/>
    <cellStyle name="20% - Accent5 4 2 3 2" xfId="13397" xr:uid="{BD30948D-BAE3-4CA1-9836-3E6EC134E143}"/>
    <cellStyle name="20% - Accent5 4 2 4" xfId="9179" xr:uid="{A22BAD27-BCC6-4CD3-A940-4D28A3474945}"/>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EBC853BA-4904-44CB-95E2-A55D51E7C390}"/>
    <cellStyle name="20% - Accent5 4 3 2 3" xfId="11737" xr:uid="{C225C4AA-1853-4CA4-8071-59F08B1AB832}"/>
    <cellStyle name="20% - Accent5 4 3 3" xfId="5371" xr:uid="{00000000-0005-0000-0000-000002030000}"/>
    <cellStyle name="20% - Accent5 4 3 3 2" xfId="13810" xr:uid="{25F76983-0A49-4F8D-BFFB-728B4913C176}"/>
    <cellStyle name="20% - Accent5 4 3 4" xfId="9592" xr:uid="{A2F89407-549A-499C-861C-3330A329C34D}"/>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FF5A82D2-36CF-4D1D-9C62-E8169FA4B72B}"/>
    <cellStyle name="20% - Accent5 4 4 2 3" xfId="12150" xr:uid="{70DB15A5-9D3A-45ED-9ADD-6DF7BB8270FA}"/>
    <cellStyle name="20% - Accent5 4 4 3" xfId="5784" xr:uid="{00000000-0005-0000-0000-000006030000}"/>
    <cellStyle name="20% - Accent5 4 4 3 2" xfId="14223" xr:uid="{884150A4-9F55-4298-AA0B-7CFFC64E553E}"/>
    <cellStyle name="20% - Accent5 4 4 4" xfId="10005" xr:uid="{B13DCE6B-432D-41BF-9FF0-B449401A6A65}"/>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4FC49297-E00C-4FAE-8ECB-F8A17D7D0E58}"/>
    <cellStyle name="20% - Accent5 4 5 2 3" xfId="12563" xr:uid="{67511067-D096-4856-9A36-9446C1B9CE27}"/>
    <cellStyle name="20% - Accent5 4 5 3" xfId="6197" xr:uid="{00000000-0005-0000-0000-00000A030000}"/>
    <cellStyle name="20% - Accent5 4 5 3 2" xfId="14636" xr:uid="{025B0CF6-0520-4F8C-8A3B-255EDADAD5E3}"/>
    <cellStyle name="20% - Accent5 4 5 4" xfId="10418" xr:uid="{823F1D87-91D3-4E0A-8C11-6BBD5E63F31A}"/>
    <cellStyle name="20% - Accent5 4 6" xfId="2303" xr:uid="{00000000-0005-0000-0000-00000B030000}"/>
    <cellStyle name="20% - Accent5 4 6 2" xfId="6610" xr:uid="{00000000-0005-0000-0000-00000C030000}"/>
    <cellStyle name="20% - Accent5 4 6 2 2" xfId="15049" xr:uid="{1A0BAABF-692E-4FAC-8ABB-0A7C24A20C9A}"/>
    <cellStyle name="20% - Accent5 4 6 3" xfId="10831" xr:uid="{F14F7EBD-915A-4971-92BC-5EEB7F7BC652}"/>
    <cellStyle name="20% - Accent5 4 7" xfId="4544" xr:uid="{00000000-0005-0000-0000-00000D030000}"/>
    <cellStyle name="20% - Accent5 4 7 2" xfId="12983" xr:uid="{C8ACEA70-F7D8-4A3C-A686-97978444F349}"/>
    <cellStyle name="20% - Accent5 4 8" xfId="8765" xr:uid="{27BD9898-7E30-4BD0-953F-AB43B68F2780}"/>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F66426EF-209B-4E9B-9E76-B295AE2A2967}"/>
    <cellStyle name="20% - Accent5 5 2 3" xfId="11317" xr:uid="{E91DECFC-DE4D-499F-84D5-DB9BD1E070C3}"/>
    <cellStyle name="20% - Accent5 5 3" xfId="4951" xr:uid="{00000000-0005-0000-0000-000011030000}"/>
    <cellStyle name="20% - Accent5 5 3 2" xfId="13390" xr:uid="{1CD3F1D4-B468-48D5-A520-876FE93DE22D}"/>
    <cellStyle name="20% - Accent5 5 4" xfId="9172" xr:uid="{0ACFA4A4-00EE-467D-A883-7F67D9865B21}"/>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DDB44AA8-25A8-47F5-A12D-BAA47AF21935}"/>
    <cellStyle name="20% - Accent5 6 2 3" xfId="11730" xr:uid="{7CDBB620-DF3C-48B0-B8EC-9E0F2C7D825F}"/>
    <cellStyle name="20% - Accent5 6 3" xfId="5364" xr:uid="{00000000-0005-0000-0000-000015030000}"/>
    <cellStyle name="20% - Accent5 6 3 2" xfId="13803" xr:uid="{DD7292B8-7F04-4386-BED2-FA0A695CC3F3}"/>
    <cellStyle name="20% - Accent5 6 4" xfId="9585" xr:uid="{B896153E-984F-4705-A694-63906553025F}"/>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799DD788-1431-482C-9C4C-EEB390B41745}"/>
    <cellStyle name="20% - Accent5 7 2 3" xfId="12143" xr:uid="{AD5C812E-AA29-442D-91CA-E61600F07565}"/>
    <cellStyle name="20% - Accent5 7 3" xfId="5777" xr:uid="{00000000-0005-0000-0000-000019030000}"/>
    <cellStyle name="20% - Accent5 7 3 2" xfId="14216" xr:uid="{351FF7FC-A522-4759-A527-C80D9B6EF0D1}"/>
    <cellStyle name="20% - Accent5 7 4" xfId="9998" xr:uid="{776C8DF2-D968-4215-9257-3ED9EC8E216A}"/>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26F592C5-3F2D-47D4-B85D-604B8B459267}"/>
    <cellStyle name="20% - Accent5 8 2 3" xfId="12556" xr:uid="{D23A853C-B4B3-4287-8CB4-0ECDB9762353}"/>
    <cellStyle name="20% - Accent5 8 3" xfId="6190" xr:uid="{00000000-0005-0000-0000-00001D030000}"/>
    <cellStyle name="20% - Accent5 8 3 2" xfId="14629" xr:uid="{65656842-CA5C-4E0F-9F84-47FF2A52B2AD}"/>
    <cellStyle name="20% - Accent5 8 4" xfId="10411" xr:uid="{FEF16266-59A0-4C67-AC3C-4DECD22F667A}"/>
    <cellStyle name="20% - Accent5 9" xfId="2296" xr:uid="{00000000-0005-0000-0000-00001E030000}"/>
    <cellStyle name="20% - Accent5 9 2" xfId="6603" xr:uid="{00000000-0005-0000-0000-00001F030000}"/>
    <cellStyle name="20% - Accent5 9 2 2" xfId="15042" xr:uid="{064D0525-5768-42F6-8214-F224032F56DE}"/>
    <cellStyle name="20% - Accent5 9 3" xfId="10824" xr:uid="{8ECB2940-7E0F-484D-8A18-91E778E7CD3B}"/>
    <cellStyle name="20% - Accent6" xfId="41" builtinId="50" customBuiltin="1"/>
    <cellStyle name="20% - Accent6 10" xfId="4545" xr:uid="{00000000-0005-0000-0000-000021030000}"/>
    <cellStyle name="20% - Accent6 10 2" xfId="12984" xr:uid="{45637163-7C04-40B7-819E-2F61BF0C4FA0}"/>
    <cellStyle name="20% - Accent6 11" xfId="8766" xr:uid="{C3B0F19A-E5E4-4160-9D67-F330328FA8F7}"/>
    <cellStyle name="20% - Accent6 2" xfId="42" xr:uid="{00000000-0005-0000-0000-000022030000}"/>
    <cellStyle name="20% - Accent6 2 10" xfId="8767" xr:uid="{0DDA3DC8-DED3-4543-A67D-1CD87A90A2BE}"/>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3B3F9448-366C-495E-A4B8-643140A6A0DC}"/>
    <cellStyle name="20% - Accent6 2 2 2 2 2 3" xfId="11328" xr:uid="{98568E8D-5C9B-4D4F-81FE-0B28B6760680}"/>
    <cellStyle name="20% - Accent6 2 2 2 2 3" xfId="4962" xr:uid="{00000000-0005-0000-0000-000028030000}"/>
    <cellStyle name="20% - Accent6 2 2 2 2 3 2" xfId="13401" xr:uid="{FECE1917-7076-4AB4-B435-820D7C81BCBA}"/>
    <cellStyle name="20% - Accent6 2 2 2 2 4" xfId="9183" xr:uid="{3C9564B8-50CD-4A4D-845A-A0AD4BE0633C}"/>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A76D25D7-92F3-4FE2-ADBE-53CF24ECFCC2}"/>
    <cellStyle name="20% - Accent6 2 2 2 3 2 3" xfId="11741" xr:uid="{57E040DC-0D57-4C7F-8331-FF55029A7AFD}"/>
    <cellStyle name="20% - Accent6 2 2 2 3 3" xfId="5375" xr:uid="{00000000-0005-0000-0000-00002C030000}"/>
    <cellStyle name="20% - Accent6 2 2 2 3 3 2" xfId="13814" xr:uid="{D3CF4380-17B9-430F-B6E6-B0967E5597BF}"/>
    <cellStyle name="20% - Accent6 2 2 2 3 4" xfId="9596" xr:uid="{322A5028-8E5F-4DA5-8A7F-8FF003451FDC}"/>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E1465B79-285D-4E21-A9C6-12F5B86E5A06}"/>
    <cellStyle name="20% - Accent6 2 2 2 4 2 3" xfId="12154" xr:uid="{F161E2F9-9913-4A29-8CF1-9AB286165E3A}"/>
    <cellStyle name="20% - Accent6 2 2 2 4 3" xfId="5788" xr:uid="{00000000-0005-0000-0000-000030030000}"/>
    <cellStyle name="20% - Accent6 2 2 2 4 3 2" xfId="14227" xr:uid="{B74D53E4-2FC5-40F4-A0AC-B38E2320E1F3}"/>
    <cellStyle name="20% - Accent6 2 2 2 4 4" xfId="10009" xr:uid="{BBB5919F-1482-4E6D-A847-6D03211AADE7}"/>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9F5783D8-C537-4277-AD2D-7E267646DA53}"/>
    <cellStyle name="20% - Accent6 2 2 2 5 2 3" xfId="12567" xr:uid="{BCEDFA61-FAA2-4E94-B6C0-F771E4C8B590}"/>
    <cellStyle name="20% - Accent6 2 2 2 5 3" xfId="6201" xr:uid="{00000000-0005-0000-0000-000034030000}"/>
    <cellStyle name="20% - Accent6 2 2 2 5 3 2" xfId="14640" xr:uid="{AC1F93A2-3098-40AE-B2C0-F2463B58B3F2}"/>
    <cellStyle name="20% - Accent6 2 2 2 5 4" xfId="10422" xr:uid="{C6303D27-3EA6-4756-B060-6A5DFF11CE92}"/>
    <cellStyle name="20% - Accent6 2 2 2 6" xfId="2307" xr:uid="{00000000-0005-0000-0000-000035030000}"/>
    <cellStyle name="20% - Accent6 2 2 2 6 2" xfId="6614" xr:uid="{00000000-0005-0000-0000-000036030000}"/>
    <cellStyle name="20% - Accent6 2 2 2 6 2 2" xfId="15053" xr:uid="{FB284FBC-3C20-4047-AA42-C1391C3CE9B5}"/>
    <cellStyle name="20% - Accent6 2 2 2 6 3" xfId="10835" xr:uid="{F421DEDC-5784-49FA-BCD1-E64D3332B056}"/>
    <cellStyle name="20% - Accent6 2 2 2 7" xfId="4548" xr:uid="{00000000-0005-0000-0000-000037030000}"/>
    <cellStyle name="20% - Accent6 2 2 2 7 2" xfId="12987" xr:uid="{D15EDD31-88AC-43B9-A84A-9CF622280408}"/>
    <cellStyle name="20% - Accent6 2 2 2 8" xfId="8769" xr:uid="{BB99F8F7-C495-43F2-861B-420218158787}"/>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17B6381E-4EAE-434C-B6D9-36DC479C34D5}"/>
    <cellStyle name="20% - Accent6 2 2 3 2 3" xfId="11327" xr:uid="{016E2857-A4B7-4927-A7B7-01A0E34895F0}"/>
    <cellStyle name="20% - Accent6 2 2 3 3" xfId="4961" xr:uid="{00000000-0005-0000-0000-00003B030000}"/>
    <cellStyle name="20% - Accent6 2 2 3 3 2" xfId="13400" xr:uid="{175869AA-093C-4661-941E-AC6A7C4DEF22}"/>
    <cellStyle name="20% - Accent6 2 2 3 4" xfId="9182" xr:uid="{1245E285-6F59-4658-AC49-8FD2EC38E64B}"/>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1B4B167B-1F2D-41C4-A991-843DD01A627F}"/>
    <cellStyle name="20% - Accent6 2 2 4 2 3" xfId="11740" xr:uid="{A664CADD-8B4E-4538-AEBC-A4EB68505B7D}"/>
    <cellStyle name="20% - Accent6 2 2 4 3" xfId="5374" xr:uid="{00000000-0005-0000-0000-00003F030000}"/>
    <cellStyle name="20% - Accent6 2 2 4 3 2" xfId="13813" xr:uid="{86559B78-2CDA-4AA1-B87B-CF7833D36338}"/>
    <cellStyle name="20% - Accent6 2 2 4 4" xfId="9595" xr:uid="{C375AEA1-3BCB-4E83-BBB6-E6023838C11C}"/>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FA4F87CC-1A31-4810-8CC2-B25FEF44BF72}"/>
    <cellStyle name="20% - Accent6 2 2 5 2 3" xfId="12153" xr:uid="{E0B4995D-860E-4E97-92C1-E29C7A478FF0}"/>
    <cellStyle name="20% - Accent6 2 2 5 3" xfId="5787" xr:uid="{00000000-0005-0000-0000-000043030000}"/>
    <cellStyle name="20% - Accent6 2 2 5 3 2" xfId="14226" xr:uid="{57A0DBCB-02EB-4CBD-95D8-9A5D24BFA2E1}"/>
    <cellStyle name="20% - Accent6 2 2 5 4" xfId="10008" xr:uid="{A2CE2CE7-1F67-4DFB-A0E8-E85F03324145}"/>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FB745A11-AFD0-4039-8549-5AE99FC97E08}"/>
    <cellStyle name="20% - Accent6 2 2 6 2 3" xfId="12566" xr:uid="{2A7CB254-FB67-446D-AC47-527A0CDAE064}"/>
    <cellStyle name="20% - Accent6 2 2 6 3" xfId="6200" xr:uid="{00000000-0005-0000-0000-000047030000}"/>
    <cellStyle name="20% - Accent6 2 2 6 3 2" xfId="14639" xr:uid="{F6BF4972-4525-49DA-8C7B-A780BD50FDAD}"/>
    <cellStyle name="20% - Accent6 2 2 6 4" xfId="10421" xr:uid="{210B46EC-A220-4840-AF56-D3E371ED77B2}"/>
    <cellStyle name="20% - Accent6 2 2 7" xfId="2306" xr:uid="{00000000-0005-0000-0000-000048030000}"/>
    <cellStyle name="20% - Accent6 2 2 7 2" xfId="6613" xr:uid="{00000000-0005-0000-0000-000049030000}"/>
    <cellStyle name="20% - Accent6 2 2 7 2 2" xfId="15052" xr:uid="{A6D42EE2-A03A-4CBC-B562-CA8FBF2589F2}"/>
    <cellStyle name="20% - Accent6 2 2 7 3" xfId="10834" xr:uid="{C031505A-7EF4-45B3-A8E2-44510AADA75A}"/>
    <cellStyle name="20% - Accent6 2 2 8" xfId="4547" xr:uid="{00000000-0005-0000-0000-00004A030000}"/>
    <cellStyle name="20% - Accent6 2 2 8 2" xfId="12986" xr:uid="{C04108E8-ED4F-4B7C-9EE7-7168C5DA2966}"/>
    <cellStyle name="20% - Accent6 2 2 9" xfId="8768" xr:uid="{09CEF10B-058B-4261-9D11-7495FB832265}"/>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7A9ED8F3-C811-4D67-9E0A-6C6500933577}"/>
    <cellStyle name="20% - Accent6 2 3 2 2 3" xfId="11329" xr:uid="{507C2AEC-81E4-4581-AA8E-0EBCE6243DD7}"/>
    <cellStyle name="20% - Accent6 2 3 2 3" xfId="4963" xr:uid="{00000000-0005-0000-0000-00004F030000}"/>
    <cellStyle name="20% - Accent6 2 3 2 3 2" xfId="13402" xr:uid="{72D58E96-CB6E-44E9-882C-201DB0685C5C}"/>
    <cellStyle name="20% - Accent6 2 3 2 4" xfId="9184" xr:uid="{9AD67F76-9298-4D78-87A6-DA65F9DE6D33}"/>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19841573-680A-4011-9804-682A4C895755}"/>
    <cellStyle name="20% - Accent6 2 3 3 2 3" xfId="11742" xr:uid="{B097DA38-CC49-43F3-92C2-A631FDDF6DEC}"/>
    <cellStyle name="20% - Accent6 2 3 3 3" xfId="5376" xr:uid="{00000000-0005-0000-0000-000053030000}"/>
    <cellStyle name="20% - Accent6 2 3 3 3 2" xfId="13815" xr:uid="{839C42C6-17C3-4855-92D6-5691AA9FA24D}"/>
    <cellStyle name="20% - Accent6 2 3 3 4" xfId="9597" xr:uid="{0670D3F7-6502-4917-B5B4-3BFC4FBC6867}"/>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ECCAFF62-CC29-49BD-B463-ACEFA8F879C7}"/>
    <cellStyle name="20% - Accent6 2 3 4 2 3" xfId="12155" xr:uid="{AE790B9E-DD3A-4447-96C8-E4BED19248B0}"/>
    <cellStyle name="20% - Accent6 2 3 4 3" xfId="5789" xr:uid="{00000000-0005-0000-0000-000057030000}"/>
    <cellStyle name="20% - Accent6 2 3 4 3 2" xfId="14228" xr:uid="{84C65170-1AFD-45CC-89D0-BAE6297DBEBF}"/>
    <cellStyle name="20% - Accent6 2 3 4 4" xfId="10010" xr:uid="{801D22D7-A2DE-4ABC-A5F8-39B11AAA16A3}"/>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BD94BE8A-E4BE-4CB0-97BA-9E0A3DC49859}"/>
    <cellStyle name="20% - Accent6 2 3 5 2 3" xfId="12568" xr:uid="{BB697645-171A-4C6F-B769-4D7410E08B50}"/>
    <cellStyle name="20% - Accent6 2 3 5 3" xfId="6202" xr:uid="{00000000-0005-0000-0000-00005B030000}"/>
    <cellStyle name="20% - Accent6 2 3 5 3 2" xfId="14641" xr:uid="{9628E991-9719-456B-995C-F4125DEF2B30}"/>
    <cellStyle name="20% - Accent6 2 3 5 4" xfId="10423" xr:uid="{06FDD358-15FF-4684-9D84-128BB96BC3F7}"/>
    <cellStyle name="20% - Accent6 2 3 6" xfId="2308" xr:uid="{00000000-0005-0000-0000-00005C030000}"/>
    <cellStyle name="20% - Accent6 2 3 6 2" xfId="6615" xr:uid="{00000000-0005-0000-0000-00005D030000}"/>
    <cellStyle name="20% - Accent6 2 3 6 2 2" xfId="15054" xr:uid="{658540D0-10CE-4E96-A536-659598305FE3}"/>
    <cellStyle name="20% - Accent6 2 3 6 3" xfId="10836" xr:uid="{3827E70A-35B7-405D-9EFB-5138E32D1771}"/>
    <cellStyle name="20% - Accent6 2 3 7" xfId="4549" xr:uid="{00000000-0005-0000-0000-00005E030000}"/>
    <cellStyle name="20% - Accent6 2 3 7 2" xfId="12988" xr:uid="{9BBD53C3-852D-43D4-98D0-8198A8079082}"/>
    <cellStyle name="20% - Accent6 2 3 8" xfId="8770" xr:uid="{45EC0BF0-EAA8-48B2-AA04-255AE6FCED00}"/>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9D6B8383-38D4-41FB-AAC0-1A1E477108F7}"/>
    <cellStyle name="20% - Accent6 2 4 2 3" xfId="11326" xr:uid="{94F43CBA-2857-476D-A1A7-1877F3086A61}"/>
    <cellStyle name="20% - Accent6 2 4 3" xfId="4960" xr:uid="{00000000-0005-0000-0000-000062030000}"/>
    <cellStyle name="20% - Accent6 2 4 3 2" xfId="13399" xr:uid="{64648E32-71E1-45A7-A639-A10F4BC0F2AA}"/>
    <cellStyle name="20% - Accent6 2 4 4" xfId="9181" xr:uid="{4BEB1225-E08B-4AC4-8F8E-6D48E1B96C7C}"/>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D29851ED-EF99-45BC-84EE-D71A372F7A5B}"/>
    <cellStyle name="20% - Accent6 2 5 2 3" xfId="11739" xr:uid="{20585558-D310-4E04-9F6C-382EBC4ED919}"/>
    <cellStyle name="20% - Accent6 2 5 3" xfId="5373" xr:uid="{00000000-0005-0000-0000-000066030000}"/>
    <cellStyle name="20% - Accent6 2 5 3 2" xfId="13812" xr:uid="{1F191873-AA82-486E-9991-3C1D94146CA6}"/>
    <cellStyle name="20% - Accent6 2 5 4" xfId="9594" xr:uid="{7DCA8C43-0DE6-4F44-AC88-58D49AB45B21}"/>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8D480C58-526A-43C7-AABB-DD0A32B303B4}"/>
    <cellStyle name="20% - Accent6 2 6 2 3" xfId="12152" xr:uid="{465406F4-6105-49D6-96FF-568617F1D300}"/>
    <cellStyle name="20% - Accent6 2 6 3" xfId="5786" xr:uid="{00000000-0005-0000-0000-00006A030000}"/>
    <cellStyle name="20% - Accent6 2 6 3 2" xfId="14225" xr:uid="{9BC58CA9-62F5-42D7-A0A7-C7F22C848B54}"/>
    <cellStyle name="20% - Accent6 2 6 4" xfId="10007" xr:uid="{DBE1119F-055D-4AE0-AB41-172FBE32B3B8}"/>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6BEF418C-4C32-4391-852A-94FD6D33D5BA}"/>
    <cellStyle name="20% - Accent6 2 7 2 3" xfId="12565" xr:uid="{9029D4F3-F7D3-4F4C-B9AC-42A84DC8182F}"/>
    <cellStyle name="20% - Accent6 2 7 3" xfId="6199" xr:uid="{00000000-0005-0000-0000-00006E030000}"/>
    <cellStyle name="20% - Accent6 2 7 3 2" xfId="14638" xr:uid="{94361926-F7C9-4E9C-B518-190DEE5645FE}"/>
    <cellStyle name="20% - Accent6 2 7 4" xfId="10420" xr:uid="{45868F53-FE5E-403B-8CA9-8F721EBAFE9F}"/>
    <cellStyle name="20% - Accent6 2 8" xfId="2305" xr:uid="{00000000-0005-0000-0000-00006F030000}"/>
    <cellStyle name="20% - Accent6 2 8 2" xfId="6612" xr:uid="{00000000-0005-0000-0000-000070030000}"/>
    <cellStyle name="20% - Accent6 2 8 2 2" xfId="15051" xr:uid="{A460642B-2FD5-4280-82F8-136CD3267145}"/>
    <cellStyle name="20% - Accent6 2 8 3" xfId="10833" xr:uid="{015C1EA2-E4ED-4EAC-B452-3ED8546B427A}"/>
    <cellStyle name="20% - Accent6 2 9" xfId="4546" xr:uid="{00000000-0005-0000-0000-000071030000}"/>
    <cellStyle name="20% - Accent6 2 9 2" xfId="12985" xr:uid="{98CE878A-6E69-4EC2-8341-A7F304484515}"/>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9A665620-36C6-4084-8713-285C194BBFF9}"/>
    <cellStyle name="20% - Accent6 3 2 2 2 3" xfId="11331" xr:uid="{589403B5-7456-42F5-91B7-D5C5A79E4D2D}"/>
    <cellStyle name="20% - Accent6 3 2 2 3" xfId="4965" xr:uid="{00000000-0005-0000-0000-000077030000}"/>
    <cellStyle name="20% - Accent6 3 2 2 3 2" xfId="13404" xr:uid="{467001DD-91C7-4A55-B083-581AB01CEFA0}"/>
    <cellStyle name="20% - Accent6 3 2 2 4" xfId="9186" xr:uid="{48235576-B9A6-4AE5-B9A9-7EE378558EFD}"/>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1D98073F-5A9D-4943-A20C-8781B9D959C6}"/>
    <cellStyle name="20% - Accent6 3 2 3 2 3" xfId="11744" xr:uid="{E36C6E32-49F8-42D3-AB3F-394C7D328F0D}"/>
    <cellStyle name="20% - Accent6 3 2 3 3" xfId="5378" xr:uid="{00000000-0005-0000-0000-00007B030000}"/>
    <cellStyle name="20% - Accent6 3 2 3 3 2" xfId="13817" xr:uid="{A0F88ECA-0BD4-4897-BCBE-6072635115EB}"/>
    <cellStyle name="20% - Accent6 3 2 3 4" xfId="9599" xr:uid="{82F42C13-C415-4F81-9681-36EDCD304906}"/>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CF1E4965-5BEC-48F1-9E2A-90ACE9565AC9}"/>
    <cellStyle name="20% - Accent6 3 2 4 2 3" xfId="12157" xr:uid="{64598259-9851-4142-82A4-5047A09CB413}"/>
    <cellStyle name="20% - Accent6 3 2 4 3" xfId="5791" xr:uid="{00000000-0005-0000-0000-00007F030000}"/>
    <cellStyle name="20% - Accent6 3 2 4 3 2" xfId="14230" xr:uid="{1F0F3782-8724-453D-8697-ED4736D5AF7C}"/>
    <cellStyle name="20% - Accent6 3 2 4 4" xfId="10012" xr:uid="{F78C68EE-29A4-4F3F-9EEE-9A8EF02CFC6C}"/>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8B0F9C68-25C8-4799-B3D4-D32E19D757EF}"/>
    <cellStyle name="20% - Accent6 3 2 5 2 3" xfId="12570" xr:uid="{77E0FD43-FE42-4F98-A63F-4E4ECAF7E7C9}"/>
    <cellStyle name="20% - Accent6 3 2 5 3" xfId="6204" xr:uid="{00000000-0005-0000-0000-000083030000}"/>
    <cellStyle name="20% - Accent6 3 2 5 3 2" xfId="14643" xr:uid="{A5904ACC-4AAD-4D18-B95B-73885847F760}"/>
    <cellStyle name="20% - Accent6 3 2 5 4" xfId="10425" xr:uid="{2F2EE6CD-A74D-4778-B746-84014C5899DF}"/>
    <cellStyle name="20% - Accent6 3 2 6" xfId="2310" xr:uid="{00000000-0005-0000-0000-000084030000}"/>
    <cellStyle name="20% - Accent6 3 2 6 2" xfId="6617" xr:uid="{00000000-0005-0000-0000-000085030000}"/>
    <cellStyle name="20% - Accent6 3 2 6 2 2" xfId="15056" xr:uid="{F6A05FDA-D753-4BDF-99D3-5E6EBC1A4364}"/>
    <cellStyle name="20% - Accent6 3 2 6 3" xfId="10838" xr:uid="{008265D0-A2EC-4889-9711-9738E8BA0579}"/>
    <cellStyle name="20% - Accent6 3 2 7" xfId="4551" xr:uid="{00000000-0005-0000-0000-000086030000}"/>
    <cellStyle name="20% - Accent6 3 2 7 2" xfId="12990" xr:uid="{FCB031AA-8BC4-4E01-813A-E2959F86036C}"/>
    <cellStyle name="20% - Accent6 3 2 8" xfId="8772" xr:uid="{386ED56F-15FD-4B22-AA9D-7A98A061B0DB}"/>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CAD0FA33-2119-4867-8E73-8899C062E633}"/>
    <cellStyle name="20% - Accent6 3 3 2 3" xfId="11330" xr:uid="{BAC4BC95-83B5-44A8-8BDC-8F33C18C65A0}"/>
    <cellStyle name="20% - Accent6 3 3 3" xfId="4964" xr:uid="{00000000-0005-0000-0000-00008A030000}"/>
    <cellStyle name="20% - Accent6 3 3 3 2" xfId="13403" xr:uid="{907968C5-90B6-4B8E-A51E-270CDF4AB97B}"/>
    <cellStyle name="20% - Accent6 3 3 4" xfId="9185" xr:uid="{9ABB4FD0-36A0-46FB-B53C-32F0B807E886}"/>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8033491D-A8D5-4493-BB5C-30DE49E634E2}"/>
    <cellStyle name="20% - Accent6 3 4 2 3" xfId="11743" xr:uid="{F94EFE2B-03BF-43CE-A462-5BA6A3E6CD68}"/>
    <cellStyle name="20% - Accent6 3 4 3" xfId="5377" xr:uid="{00000000-0005-0000-0000-00008E030000}"/>
    <cellStyle name="20% - Accent6 3 4 3 2" xfId="13816" xr:uid="{B865FC49-98B4-4A28-8DC9-705F2BFFD35D}"/>
    <cellStyle name="20% - Accent6 3 4 4" xfId="9598" xr:uid="{F4618075-2444-4B37-8802-F338D99B740C}"/>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DE2340A8-C071-4F50-B09E-86E68D558445}"/>
    <cellStyle name="20% - Accent6 3 5 2 3" xfId="12156" xr:uid="{77B3D3EF-276C-43EE-8563-190109E9D680}"/>
    <cellStyle name="20% - Accent6 3 5 3" xfId="5790" xr:uid="{00000000-0005-0000-0000-000092030000}"/>
    <cellStyle name="20% - Accent6 3 5 3 2" xfId="14229" xr:uid="{29433197-14BC-4126-9479-7FA3C733B49F}"/>
    <cellStyle name="20% - Accent6 3 5 4" xfId="10011" xr:uid="{04AEF493-D0D5-42E7-9AD9-265DBA07FAD0}"/>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C89C3A17-6EA0-4E97-B90D-1119177487C6}"/>
    <cellStyle name="20% - Accent6 3 6 2 3" xfId="12569" xr:uid="{186EE9A8-719D-402C-9B93-8D223C66F036}"/>
    <cellStyle name="20% - Accent6 3 6 3" xfId="6203" xr:uid="{00000000-0005-0000-0000-000096030000}"/>
    <cellStyle name="20% - Accent6 3 6 3 2" xfId="14642" xr:uid="{B2816169-C972-4055-9A20-307BD8B99C1C}"/>
    <cellStyle name="20% - Accent6 3 6 4" xfId="10424" xr:uid="{E73B673E-3CD1-4C4E-8726-06D7811D8423}"/>
    <cellStyle name="20% - Accent6 3 7" xfId="2309" xr:uid="{00000000-0005-0000-0000-000097030000}"/>
    <cellStyle name="20% - Accent6 3 7 2" xfId="6616" xr:uid="{00000000-0005-0000-0000-000098030000}"/>
    <cellStyle name="20% - Accent6 3 7 2 2" xfId="15055" xr:uid="{6A297F16-66B6-4305-A5C1-07A0ABA61CD9}"/>
    <cellStyle name="20% - Accent6 3 7 3" xfId="10837" xr:uid="{B884BA45-6405-4C81-BD6E-167905D75DB4}"/>
    <cellStyle name="20% - Accent6 3 8" xfId="4550" xr:uid="{00000000-0005-0000-0000-000099030000}"/>
    <cellStyle name="20% - Accent6 3 8 2" xfId="12989" xr:uid="{25B3EE8A-DE0A-4376-890F-B0E756A168FC}"/>
    <cellStyle name="20% - Accent6 3 9" xfId="8771" xr:uid="{C5D49188-7756-4FDF-8D1A-2EE59CFB8E16}"/>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AA166C1F-8A87-453B-B6C5-D79FA82416FE}"/>
    <cellStyle name="20% - Accent6 4 2 2 3" xfId="11332" xr:uid="{D09796D5-34EE-4017-B8B8-611917115924}"/>
    <cellStyle name="20% - Accent6 4 2 3" xfId="4966" xr:uid="{00000000-0005-0000-0000-00009E030000}"/>
    <cellStyle name="20% - Accent6 4 2 3 2" xfId="13405" xr:uid="{F314421F-9275-4F7D-9BDB-36284993F9E2}"/>
    <cellStyle name="20% - Accent6 4 2 4" xfId="9187" xr:uid="{3CA5BBE5-26A4-49E4-ACD5-6840F086181F}"/>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05EB2EFC-EF1B-40FD-9351-30A40B119ECB}"/>
    <cellStyle name="20% - Accent6 4 3 2 3" xfId="11745" xr:uid="{22DD2F5E-1362-4B09-B4DD-D40D5DBDD8CE}"/>
    <cellStyle name="20% - Accent6 4 3 3" xfId="5379" xr:uid="{00000000-0005-0000-0000-0000A2030000}"/>
    <cellStyle name="20% - Accent6 4 3 3 2" xfId="13818" xr:uid="{F61ABA24-91DB-4DF8-9CF4-5AFE3DDF79EC}"/>
    <cellStyle name="20% - Accent6 4 3 4" xfId="9600" xr:uid="{35D7B152-64D0-48C5-87B4-867A0D46FBD2}"/>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A9F5F05B-84C5-4CC7-AA20-BEF3E08B26D6}"/>
    <cellStyle name="20% - Accent6 4 4 2 3" xfId="12158" xr:uid="{D43CE86C-9AF5-47C6-8EA0-1B95BE6E32D0}"/>
    <cellStyle name="20% - Accent6 4 4 3" xfId="5792" xr:uid="{00000000-0005-0000-0000-0000A6030000}"/>
    <cellStyle name="20% - Accent6 4 4 3 2" xfId="14231" xr:uid="{DF310E74-B34F-418C-9CE7-F7F46390844F}"/>
    <cellStyle name="20% - Accent6 4 4 4" xfId="10013" xr:uid="{0AEDA110-1321-47B7-9DE4-51D0CB392078}"/>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6A730F9A-E4C1-4189-8B38-B2AC923273B2}"/>
    <cellStyle name="20% - Accent6 4 5 2 3" xfId="12571" xr:uid="{B536948F-E964-444D-B967-A8856575127B}"/>
    <cellStyle name="20% - Accent6 4 5 3" xfId="6205" xr:uid="{00000000-0005-0000-0000-0000AA030000}"/>
    <cellStyle name="20% - Accent6 4 5 3 2" xfId="14644" xr:uid="{E069048D-462F-4E7C-AB3F-E5DB0EF590BA}"/>
    <cellStyle name="20% - Accent6 4 5 4" xfId="10426" xr:uid="{792E8545-21BD-42D3-93CE-9AFE773C967F}"/>
    <cellStyle name="20% - Accent6 4 6" xfId="2311" xr:uid="{00000000-0005-0000-0000-0000AB030000}"/>
    <cellStyle name="20% - Accent6 4 6 2" xfId="6618" xr:uid="{00000000-0005-0000-0000-0000AC030000}"/>
    <cellStyle name="20% - Accent6 4 6 2 2" xfId="15057" xr:uid="{6A201697-9026-4592-A56D-D1C4B84E193F}"/>
    <cellStyle name="20% - Accent6 4 6 3" xfId="10839" xr:uid="{3FF7769D-1B63-4358-AD27-A9BBCAA5953A}"/>
    <cellStyle name="20% - Accent6 4 7" xfId="4552" xr:uid="{00000000-0005-0000-0000-0000AD030000}"/>
    <cellStyle name="20% - Accent6 4 7 2" xfId="12991" xr:uid="{FAB7BA6F-0D3E-4881-8414-3DCAC1560BC2}"/>
    <cellStyle name="20% - Accent6 4 8" xfId="8773" xr:uid="{60FD15C7-CA0C-4DDE-8044-C92C4DE1D864}"/>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52F9E820-A5E6-4F59-BE92-81D5123A6EDC}"/>
    <cellStyle name="20% - Accent6 5 2 3" xfId="11325" xr:uid="{9FF1C7EF-378D-42B4-80F0-8AC1E13C92A9}"/>
    <cellStyle name="20% - Accent6 5 3" xfId="4959" xr:uid="{00000000-0005-0000-0000-0000B1030000}"/>
    <cellStyle name="20% - Accent6 5 3 2" xfId="13398" xr:uid="{981E1FB0-0E82-4E8E-96E4-C206043AACDD}"/>
    <cellStyle name="20% - Accent6 5 4" xfId="9180" xr:uid="{1BE7024B-67C7-4079-AA4B-BF1F97656A50}"/>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2749081E-2D81-4B0E-8602-044D0F6EA9D6}"/>
    <cellStyle name="20% - Accent6 6 2 3" xfId="11738" xr:uid="{C22FFCC5-FBD1-4F40-90DC-E9D1140A0571}"/>
    <cellStyle name="20% - Accent6 6 3" xfId="5372" xr:uid="{00000000-0005-0000-0000-0000B5030000}"/>
    <cellStyle name="20% - Accent6 6 3 2" xfId="13811" xr:uid="{C927ECC8-CF5C-41B5-8BB4-64316B080FF7}"/>
    <cellStyle name="20% - Accent6 6 4" xfId="9593" xr:uid="{6E69349C-1652-4742-B1B0-2F73CBCE0A73}"/>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3745266D-2E35-4D3B-8683-1CA0247E8334}"/>
    <cellStyle name="20% - Accent6 7 2 3" xfId="12151" xr:uid="{6B6AF9D5-4FD5-4F43-96ED-97D8D356F15B}"/>
    <cellStyle name="20% - Accent6 7 3" xfId="5785" xr:uid="{00000000-0005-0000-0000-0000B9030000}"/>
    <cellStyle name="20% - Accent6 7 3 2" xfId="14224" xr:uid="{A5F14095-E87E-44CB-9745-4F81BDC4AAA2}"/>
    <cellStyle name="20% - Accent6 7 4" xfId="10006" xr:uid="{0733B7A0-6275-4A3A-B3F7-A18B7A0ECF55}"/>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6D744CD9-B25D-4DB6-A327-A4D47F2EA237}"/>
    <cellStyle name="20% - Accent6 8 2 3" xfId="12564" xr:uid="{E3D2424D-AD4C-497A-8FCB-B9E41AD13762}"/>
    <cellStyle name="20% - Accent6 8 3" xfId="6198" xr:uid="{00000000-0005-0000-0000-0000BD030000}"/>
    <cellStyle name="20% - Accent6 8 3 2" xfId="14637" xr:uid="{339B901C-0C26-4D5A-AF3D-05A9DDBCE2AE}"/>
    <cellStyle name="20% - Accent6 8 4" xfId="10419" xr:uid="{7AD5B79A-FD27-4BA5-94F0-D4E935A44B76}"/>
    <cellStyle name="20% - Accent6 9" xfId="2304" xr:uid="{00000000-0005-0000-0000-0000BE030000}"/>
    <cellStyle name="20% - Accent6 9 2" xfId="6611" xr:uid="{00000000-0005-0000-0000-0000BF030000}"/>
    <cellStyle name="20% - Accent6 9 2 2" xfId="15050" xr:uid="{4E917BC8-8570-4309-B21D-D722B2F00BA4}"/>
    <cellStyle name="20% - Accent6 9 3" xfId="10832" xr:uid="{A95EF3B3-542D-4319-923F-26DBB4697A2A}"/>
    <cellStyle name="40% - Accent1" xfId="49" builtinId="31" customBuiltin="1"/>
    <cellStyle name="40% - Accent1 10" xfId="4553" xr:uid="{00000000-0005-0000-0000-0000C1030000}"/>
    <cellStyle name="40% - Accent1 10 2" xfId="12992" xr:uid="{4BC0053E-1A03-440D-A788-4F0281214F1F}"/>
    <cellStyle name="40% - Accent1 11" xfId="8774" xr:uid="{C4F8B996-42F7-498B-B91E-6F087D41D184}"/>
    <cellStyle name="40% - Accent1 2" xfId="50" xr:uid="{00000000-0005-0000-0000-0000C2030000}"/>
    <cellStyle name="40% - Accent1 2 10" xfId="8775" xr:uid="{0DBB4E05-EC5F-4130-AE48-67C18B772CA5}"/>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AE46CA04-EEB5-46C3-AAF0-E2D00D81ADFD}"/>
    <cellStyle name="40% - Accent1 2 2 2 2 2 3" xfId="11336" xr:uid="{8AA732CC-3A69-49A2-AA8A-D01422B3EEE6}"/>
    <cellStyle name="40% - Accent1 2 2 2 2 3" xfId="4970" xr:uid="{00000000-0005-0000-0000-0000C8030000}"/>
    <cellStyle name="40% - Accent1 2 2 2 2 3 2" xfId="13409" xr:uid="{A466FCBE-6697-4519-90F4-F9B17E07CE02}"/>
    <cellStyle name="40% - Accent1 2 2 2 2 4" xfId="9191" xr:uid="{E5B8BA19-9BF9-4D1E-890A-493F86F69937}"/>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E5BDCD7E-13EA-40CE-B65C-F48402A6BD47}"/>
    <cellStyle name="40% - Accent1 2 2 2 3 2 3" xfId="11749" xr:uid="{1C765ECD-34E2-4A8B-A8CF-FA811D715A8D}"/>
    <cellStyle name="40% - Accent1 2 2 2 3 3" xfId="5383" xr:uid="{00000000-0005-0000-0000-0000CC030000}"/>
    <cellStyle name="40% - Accent1 2 2 2 3 3 2" xfId="13822" xr:uid="{0DF55D48-5E4E-47B8-BA64-2E647A489B24}"/>
    <cellStyle name="40% - Accent1 2 2 2 3 4" xfId="9604" xr:uid="{0A36EBEA-E3EB-4525-99FD-E60984D4C914}"/>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5F31D5EF-302D-4CCA-82C9-60B76C3EF6EB}"/>
    <cellStyle name="40% - Accent1 2 2 2 4 2 3" xfId="12162" xr:uid="{7A02249C-98A8-4CA5-8286-1118B4D2C7C9}"/>
    <cellStyle name="40% - Accent1 2 2 2 4 3" xfId="5796" xr:uid="{00000000-0005-0000-0000-0000D0030000}"/>
    <cellStyle name="40% - Accent1 2 2 2 4 3 2" xfId="14235" xr:uid="{C30E8FAC-470E-4F66-BFEC-37082D64F1F1}"/>
    <cellStyle name="40% - Accent1 2 2 2 4 4" xfId="10017" xr:uid="{CADD6CBD-6866-4186-BF79-A31D7E09C646}"/>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668BCF2F-8F04-4209-8DFD-11042EF8775A}"/>
    <cellStyle name="40% - Accent1 2 2 2 5 2 3" xfId="12575" xr:uid="{68F2D717-DACA-454D-9DAA-C22B9B736276}"/>
    <cellStyle name="40% - Accent1 2 2 2 5 3" xfId="6209" xr:uid="{00000000-0005-0000-0000-0000D4030000}"/>
    <cellStyle name="40% - Accent1 2 2 2 5 3 2" xfId="14648" xr:uid="{D16E8B74-3490-47C3-80F5-77018D4BA941}"/>
    <cellStyle name="40% - Accent1 2 2 2 5 4" xfId="10430" xr:uid="{1223F465-19CB-4CE9-BC29-8BA3753E950D}"/>
    <cellStyle name="40% - Accent1 2 2 2 6" xfId="2315" xr:uid="{00000000-0005-0000-0000-0000D5030000}"/>
    <cellStyle name="40% - Accent1 2 2 2 6 2" xfId="6622" xr:uid="{00000000-0005-0000-0000-0000D6030000}"/>
    <cellStyle name="40% - Accent1 2 2 2 6 2 2" xfId="15061" xr:uid="{74B7809E-2060-4AAA-997A-7B6B8A448B70}"/>
    <cellStyle name="40% - Accent1 2 2 2 6 3" xfId="10843" xr:uid="{14ABA5AE-34E7-41B5-832E-AA873DA0F246}"/>
    <cellStyle name="40% - Accent1 2 2 2 7" xfId="4556" xr:uid="{00000000-0005-0000-0000-0000D7030000}"/>
    <cellStyle name="40% - Accent1 2 2 2 7 2" xfId="12995" xr:uid="{933DA5F9-C1A4-49D5-8476-D6EADE83DF44}"/>
    <cellStyle name="40% - Accent1 2 2 2 8" xfId="8777" xr:uid="{C86502B5-2611-474F-9FF7-72936CD4D6D4}"/>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E1B9755A-95A0-47D5-A6FC-5B08815D6925}"/>
    <cellStyle name="40% - Accent1 2 2 3 2 3" xfId="11335" xr:uid="{8D4AFAEF-F5C4-4ACB-BEFC-DE8032BD13DC}"/>
    <cellStyle name="40% - Accent1 2 2 3 3" xfId="4969" xr:uid="{00000000-0005-0000-0000-0000DB030000}"/>
    <cellStyle name="40% - Accent1 2 2 3 3 2" xfId="13408" xr:uid="{CCE6F886-C79E-4F1F-886F-E79AD365FBEE}"/>
    <cellStyle name="40% - Accent1 2 2 3 4" xfId="9190" xr:uid="{D7B218E3-42AA-46E9-9388-672384CB553B}"/>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EA7A8F73-F131-47CE-914D-93C3910F5817}"/>
    <cellStyle name="40% - Accent1 2 2 4 2 3" xfId="11748" xr:uid="{AD5348D9-74B4-41E9-9A17-FE8A0875E997}"/>
    <cellStyle name="40% - Accent1 2 2 4 3" xfId="5382" xr:uid="{00000000-0005-0000-0000-0000DF030000}"/>
    <cellStyle name="40% - Accent1 2 2 4 3 2" xfId="13821" xr:uid="{188B8CD1-E3CB-4E6C-9E5D-6DB97DB70E5B}"/>
    <cellStyle name="40% - Accent1 2 2 4 4" xfId="9603" xr:uid="{B54EB7B6-148F-4757-84C3-DB76CB42C025}"/>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72D75222-130B-49A5-8F9E-11D09AA3774B}"/>
    <cellStyle name="40% - Accent1 2 2 5 2 3" xfId="12161" xr:uid="{3CCD58C3-6384-4155-AA20-9340560C8EE7}"/>
    <cellStyle name="40% - Accent1 2 2 5 3" xfId="5795" xr:uid="{00000000-0005-0000-0000-0000E3030000}"/>
    <cellStyle name="40% - Accent1 2 2 5 3 2" xfId="14234" xr:uid="{C8437A01-618F-4E17-A147-65789713FC74}"/>
    <cellStyle name="40% - Accent1 2 2 5 4" xfId="10016" xr:uid="{16C4E8DD-4F5B-48D3-B7DA-CEDB1ACFD7D1}"/>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FBD04126-77BF-4A7A-AA5A-9A9B95C76BF6}"/>
    <cellStyle name="40% - Accent1 2 2 6 2 3" xfId="12574" xr:uid="{6A0ED026-5714-40CB-B649-0EB98292F527}"/>
    <cellStyle name="40% - Accent1 2 2 6 3" xfId="6208" xr:uid="{00000000-0005-0000-0000-0000E7030000}"/>
    <cellStyle name="40% - Accent1 2 2 6 3 2" xfId="14647" xr:uid="{1205FFFB-A2AE-4D84-99FB-D468229C9D9D}"/>
    <cellStyle name="40% - Accent1 2 2 6 4" xfId="10429" xr:uid="{5F1C4EFC-9CC6-4FD5-BB7F-4CD769C2240A}"/>
    <cellStyle name="40% - Accent1 2 2 7" xfId="2314" xr:uid="{00000000-0005-0000-0000-0000E8030000}"/>
    <cellStyle name="40% - Accent1 2 2 7 2" xfId="6621" xr:uid="{00000000-0005-0000-0000-0000E9030000}"/>
    <cellStyle name="40% - Accent1 2 2 7 2 2" xfId="15060" xr:uid="{589E52BF-3474-418F-970E-2D640B50F087}"/>
    <cellStyle name="40% - Accent1 2 2 7 3" xfId="10842" xr:uid="{8A1B3CC9-F345-4277-AF4B-88EAD95527C7}"/>
    <cellStyle name="40% - Accent1 2 2 8" xfId="4555" xr:uid="{00000000-0005-0000-0000-0000EA030000}"/>
    <cellStyle name="40% - Accent1 2 2 8 2" xfId="12994" xr:uid="{AA1C2AC0-41DE-442E-8F47-AE10152DF225}"/>
    <cellStyle name="40% - Accent1 2 2 9" xfId="8776" xr:uid="{282D24C4-EDDB-4AA7-84BA-C0452E6444ED}"/>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F8C5EC7F-AC79-4219-8BB3-71D89C89B792}"/>
    <cellStyle name="40% - Accent1 2 3 2 2 3" xfId="11337" xr:uid="{10B60224-2FD1-4BA0-A6F0-159752050A1C}"/>
    <cellStyle name="40% - Accent1 2 3 2 3" xfId="4971" xr:uid="{00000000-0005-0000-0000-0000EF030000}"/>
    <cellStyle name="40% - Accent1 2 3 2 3 2" xfId="13410" xr:uid="{88229BBD-8A10-4C62-ACF0-C3DC0C7130EB}"/>
    <cellStyle name="40% - Accent1 2 3 2 4" xfId="9192" xr:uid="{9DFC7BD6-017D-4493-83B8-D0859EFD679A}"/>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D20DAF29-B92A-41EC-8FC1-777788355598}"/>
    <cellStyle name="40% - Accent1 2 3 3 2 3" xfId="11750" xr:uid="{7D98D563-DB84-4303-8BFF-0B6B63BB71C5}"/>
    <cellStyle name="40% - Accent1 2 3 3 3" xfId="5384" xr:uid="{00000000-0005-0000-0000-0000F3030000}"/>
    <cellStyle name="40% - Accent1 2 3 3 3 2" xfId="13823" xr:uid="{4DDC4250-D24C-4828-A12C-C8C065B072A7}"/>
    <cellStyle name="40% - Accent1 2 3 3 4" xfId="9605" xr:uid="{891F480F-F2B5-4F83-8118-CFAB67A44750}"/>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34A71DD3-F4E0-4D7A-A71D-2F97E5064C99}"/>
    <cellStyle name="40% - Accent1 2 3 4 2 3" xfId="12163" xr:uid="{36DC5ABD-82B6-456C-A250-E7BEC930AE02}"/>
    <cellStyle name="40% - Accent1 2 3 4 3" xfId="5797" xr:uid="{00000000-0005-0000-0000-0000F7030000}"/>
    <cellStyle name="40% - Accent1 2 3 4 3 2" xfId="14236" xr:uid="{6E398C2C-EDCC-4090-BCB8-6241FC677CDD}"/>
    <cellStyle name="40% - Accent1 2 3 4 4" xfId="10018" xr:uid="{52AAA40D-E2E3-4360-806F-6403E9773B03}"/>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4CDF282B-E00D-4C9D-AC2D-4064179228BE}"/>
    <cellStyle name="40% - Accent1 2 3 5 2 3" xfId="12576" xr:uid="{277D0D25-E6BE-45D1-B79C-13C6FB6FDF76}"/>
    <cellStyle name="40% - Accent1 2 3 5 3" xfId="6210" xr:uid="{00000000-0005-0000-0000-0000FB030000}"/>
    <cellStyle name="40% - Accent1 2 3 5 3 2" xfId="14649" xr:uid="{C9BA82E7-F695-403B-834F-C20734FADD7F}"/>
    <cellStyle name="40% - Accent1 2 3 5 4" xfId="10431" xr:uid="{AA735491-10D0-405F-97CD-3446F9F330CB}"/>
    <cellStyle name="40% - Accent1 2 3 6" xfId="2316" xr:uid="{00000000-0005-0000-0000-0000FC030000}"/>
    <cellStyle name="40% - Accent1 2 3 6 2" xfId="6623" xr:uid="{00000000-0005-0000-0000-0000FD030000}"/>
    <cellStyle name="40% - Accent1 2 3 6 2 2" xfId="15062" xr:uid="{B58B6C5A-6F4E-44EE-A5B3-B65D3A31B8B4}"/>
    <cellStyle name="40% - Accent1 2 3 6 3" xfId="10844" xr:uid="{5554FB39-F9ED-4260-A949-4D31AB9A1C94}"/>
    <cellStyle name="40% - Accent1 2 3 7" xfId="4557" xr:uid="{00000000-0005-0000-0000-0000FE030000}"/>
    <cellStyle name="40% - Accent1 2 3 7 2" xfId="12996" xr:uid="{E6703E7E-DBE2-4F56-AD45-21D36CA951C6}"/>
    <cellStyle name="40% - Accent1 2 3 8" xfId="8778" xr:uid="{0DA14275-B7BD-450E-A696-B7FDC3BCED0E}"/>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B256A5DC-67D0-46EC-8C9A-9C8F9CFC09DE}"/>
    <cellStyle name="40% - Accent1 2 4 2 3" xfId="11334" xr:uid="{5D280E04-1446-4C6F-BD04-3B599641B255}"/>
    <cellStyle name="40% - Accent1 2 4 3" xfId="4968" xr:uid="{00000000-0005-0000-0000-000002040000}"/>
    <cellStyle name="40% - Accent1 2 4 3 2" xfId="13407" xr:uid="{B3CBC604-C17E-44FA-9CF6-69AB1E730920}"/>
    <cellStyle name="40% - Accent1 2 4 4" xfId="9189" xr:uid="{685B00B9-B2CF-4D05-A071-76E5AD7DC243}"/>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BC76314B-7A8A-4A87-A0A6-1D0FF819F336}"/>
    <cellStyle name="40% - Accent1 2 5 2 3" xfId="11747" xr:uid="{02BEEF83-CD4A-40C0-A134-0724C37C57D5}"/>
    <cellStyle name="40% - Accent1 2 5 3" xfId="5381" xr:uid="{00000000-0005-0000-0000-000006040000}"/>
    <cellStyle name="40% - Accent1 2 5 3 2" xfId="13820" xr:uid="{C8D0ADFE-218D-4684-82EE-5A0A8A4CCF18}"/>
    <cellStyle name="40% - Accent1 2 5 4" xfId="9602" xr:uid="{D496B5E7-5EC8-484C-A63D-4F45B4E4B52D}"/>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77E3751A-FF1D-44B4-85B2-D17E516B2A02}"/>
    <cellStyle name="40% - Accent1 2 6 2 3" xfId="12160" xr:uid="{073222B2-C91D-41C7-B4AC-7219D3519CFB}"/>
    <cellStyle name="40% - Accent1 2 6 3" xfId="5794" xr:uid="{00000000-0005-0000-0000-00000A040000}"/>
    <cellStyle name="40% - Accent1 2 6 3 2" xfId="14233" xr:uid="{5BF575C1-98BC-47C4-9B86-E85DC683F43E}"/>
    <cellStyle name="40% - Accent1 2 6 4" xfId="10015" xr:uid="{CA6124F2-8A56-42C2-9698-4A0F5337BE9D}"/>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32F2FB3F-4486-4002-B3D4-65DC9B1552CB}"/>
    <cellStyle name="40% - Accent1 2 7 2 3" xfId="12573" xr:uid="{99AF810B-4873-4FC0-8DD4-3B17023F6981}"/>
    <cellStyle name="40% - Accent1 2 7 3" xfId="6207" xr:uid="{00000000-0005-0000-0000-00000E040000}"/>
    <cellStyle name="40% - Accent1 2 7 3 2" xfId="14646" xr:uid="{750A15FA-FE04-4905-86CA-DD1651A2195F}"/>
    <cellStyle name="40% - Accent1 2 7 4" xfId="10428" xr:uid="{09842B53-C5E9-40E3-A855-CECB872C0CE1}"/>
    <cellStyle name="40% - Accent1 2 8" xfId="2313" xr:uid="{00000000-0005-0000-0000-00000F040000}"/>
    <cellStyle name="40% - Accent1 2 8 2" xfId="6620" xr:uid="{00000000-0005-0000-0000-000010040000}"/>
    <cellStyle name="40% - Accent1 2 8 2 2" xfId="15059" xr:uid="{8F311F45-E500-46A0-80E7-68FA70B298CF}"/>
    <cellStyle name="40% - Accent1 2 8 3" xfId="10841" xr:uid="{8D398B49-E39C-46E9-89BE-7E4C61248979}"/>
    <cellStyle name="40% - Accent1 2 9" xfId="4554" xr:uid="{00000000-0005-0000-0000-000011040000}"/>
    <cellStyle name="40% - Accent1 2 9 2" xfId="12993" xr:uid="{73739203-02F2-401C-A30D-D47E58D055C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4C17ED51-EB0A-4AF9-AC64-10FA4AB86FBB}"/>
    <cellStyle name="40% - Accent1 3 2 2 2 3" xfId="11339" xr:uid="{B303951B-1574-4CC2-95B8-233ECFD61BAF}"/>
    <cellStyle name="40% - Accent1 3 2 2 3" xfId="4973" xr:uid="{00000000-0005-0000-0000-000017040000}"/>
    <cellStyle name="40% - Accent1 3 2 2 3 2" xfId="13412" xr:uid="{637FB304-382D-4831-AD0F-B702F3247536}"/>
    <cellStyle name="40% - Accent1 3 2 2 4" xfId="9194" xr:uid="{C6FB874D-4852-40DC-974F-B086B88AF7DD}"/>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BD43FD8B-18CA-410C-85A6-C0141C554AA0}"/>
    <cellStyle name="40% - Accent1 3 2 3 2 3" xfId="11752" xr:uid="{B69238C1-959E-4BDF-82E0-2DCAA4C61111}"/>
    <cellStyle name="40% - Accent1 3 2 3 3" xfId="5386" xr:uid="{00000000-0005-0000-0000-00001B040000}"/>
    <cellStyle name="40% - Accent1 3 2 3 3 2" xfId="13825" xr:uid="{75B24914-F68F-4C8F-90F4-5F2F6BDC8231}"/>
    <cellStyle name="40% - Accent1 3 2 3 4" xfId="9607" xr:uid="{B4F401DE-0768-4A9D-B21F-D3BB188AE69D}"/>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7957CB94-8C9F-4785-9E41-8296DE83439E}"/>
    <cellStyle name="40% - Accent1 3 2 4 2 3" xfId="12165" xr:uid="{9A60C0FB-7C71-4537-8510-B10F5E16904A}"/>
    <cellStyle name="40% - Accent1 3 2 4 3" xfId="5799" xr:uid="{00000000-0005-0000-0000-00001F040000}"/>
    <cellStyle name="40% - Accent1 3 2 4 3 2" xfId="14238" xr:uid="{8C8A5B8E-BE2C-4D82-B3A1-883AD3A0BB46}"/>
    <cellStyle name="40% - Accent1 3 2 4 4" xfId="10020" xr:uid="{59E61D79-E0DF-4811-B196-6501958860A0}"/>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1FEEBDCB-2F3C-4DA8-BC1A-5B68EB671036}"/>
    <cellStyle name="40% - Accent1 3 2 5 2 3" xfId="12578" xr:uid="{9F30103B-7418-4A42-852D-5C20C61291E1}"/>
    <cellStyle name="40% - Accent1 3 2 5 3" xfId="6212" xr:uid="{00000000-0005-0000-0000-000023040000}"/>
    <cellStyle name="40% - Accent1 3 2 5 3 2" xfId="14651" xr:uid="{4A4FE0E1-B24A-4AF9-B298-BA8E733308BF}"/>
    <cellStyle name="40% - Accent1 3 2 5 4" xfId="10433" xr:uid="{F148B64E-8697-47F2-895D-ADCCCA0D95FF}"/>
    <cellStyle name="40% - Accent1 3 2 6" xfId="2318" xr:uid="{00000000-0005-0000-0000-000024040000}"/>
    <cellStyle name="40% - Accent1 3 2 6 2" xfId="6625" xr:uid="{00000000-0005-0000-0000-000025040000}"/>
    <cellStyle name="40% - Accent1 3 2 6 2 2" xfId="15064" xr:uid="{3DD784CA-FC9B-4190-8D98-B9EDA1875981}"/>
    <cellStyle name="40% - Accent1 3 2 6 3" xfId="10846" xr:uid="{A6EA15E5-4D70-4452-BB6A-BB9AFFB2D998}"/>
    <cellStyle name="40% - Accent1 3 2 7" xfId="4559" xr:uid="{00000000-0005-0000-0000-000026040000}"/>
    <cellStyle name="40% - Accent1 3 2 7 2" xfId="12998" xr:uid="{45DE58B7-0AB8-4E97-B15C-E7EE89BD32B5}"/>
    <cellStyle name="40% - Accent1 3 2 8" xfId="8780" xr:uid="{B7772BE6-83FA-4486-8BD0-D739F93B892E}"/>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7CDC71BF-3DCF-4507-9D97-8CA216029622}"/>
    <cellStyle name="40% - Accent1 3 3 2 3" xfId="11338" xr:uid="{3CEB59FA-FB5A-44D8-841F-617A4D104556}"/>
    <cellStyle name="40% - Accent1 3 3 3" xfId="4972" xr:uid="{00000000-0005-0000-0000-00002A040000}"/>
    <cellStyle name="40% - Accent1 3 3 3 2" xfId="13411" xr:uid="{71CF67D8-F948-4DC7-BC36-54699DA39EF7}"/>
    <cellStyle name="40% - Accent1 3 3 4" xfId="9193" xr:uid="{66AC2B7C-0BCF-4170-969C-5AEDA6FC55D6}"/>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B6854FED-00F0-499F-98C7-A96FC6C8949A}"/>
    <cellStyle name="40% - Accent1 3 4 2 3" xfId="11751" xr:uid="{457BB3E4-1D3A-47B8-B16E-4E54C4C5CC38}"/>
    <cellStyle name="40% - Accent1 3 4 3" xfId="5385" xr:uid="{00000000-0005-0000-0000-00002E040000}"/>
    <cellStyle name="40% - Accent1 3 4 3 2" xfId="13824" xr:uid="{6F26AEA1-253A-4C83-AADA-E74900E7D2A6}"/>
    <cellStyle name="40% - Accent1 3 4 4" xfId="9606" xr:uid="{D3B3A6F2-52B9-4123-B379-463E7765F733}"/>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DCBB955D-31A3-4A9A-A317-32DC44E7AD1E}"/>
    <cellStyle name="40% - Accent1 3 5 2 3" xfId="12164" xr:uid="{65AC70EC-B5E5-4C0A-AEA5-F480E9939250}"/>
    <cellStyle name="40% - Accent1 3 5 3" xfId="5798" xr:uid="{00000000-0005-0000-0000-000032040000}"/>
    <cellStyle name="40% - Accent1 3 5 3 2" xfId="14237" xr:uid="{FA889E4E-4249-4DAE-82DF-0609F961956A}"/>
    <cellStyle name="40% - Accent1 3 5 4" xfId="10019" xr:uid="{BF4BACDE-E58D-44B4-A5BD-5B57E74B8B4F}"/>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55DAA1EB-D152-48B6-B693-8243F71233F2}"/>
    <cellStyle name="40% - Accent1 3 6 2 3" xfId="12577" xr:uid="{7FE99FBA-771A-4CD1-87EC-67E015BB7BAE}"/>
    <cellStyle name="40% - Accent1 3 6 3" xfId="6211" xr:uid="{00000000-0005-0000-0000-000036040000}"/>
    <cellStyle name="40% - Accent1 3 6 3 2" xfId="14650" xr:uid="{20A844D6-B3A0-44B1-BF31-CE51B2FA18A5}"/>
    <cellStyle name="40% - Accent1 3 6 4" xfId="10432" xr:uid="{6745614B-2277-446B-B60A-BAC3FCC0DB26}"/>
    <cellStyle name="40% - Accent1 3 7" xfId="2317" xr:uid="{00000000-0005-0000-0000-000037040000}"/>
    <cellStyle name="40% - Accent1 3 7 2" xfId="6624" xr:uid="{00000000-0005-0000-0000-000038040000}"/>
    <cellStyle name="40% - Accent1 3 7 2 2" xfId="15063" xr:uid="{1E78F2DD-35E7-4D75-9978-A225FE06817A}"/>
    <cellStyle name="40% - Accent1 3 7 3" xfId="10845" xr:uid="{5A8247F3-7564-4F9E-A1F7-6E15B4EAB025}"/>
    <cellStyle name="40% - Accent1 3 8" xfId="4558" xr:uid="{00000000-0005-0000-0000-000039040000}"/>
    <cellStyle name="40% - Accent1 3 8 2" xfId="12997" xr:uid="{8EE3A3B1-EFC3-41BA-AF7D-D76580DE9B12}"/>
    <cellStyle name="40% - Accent1 3 9" xfId="8779" xr:uid="{F17B5262-0CE7-4F71-9A5D-AE7A085040B1}"/>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5DB824E8-C74A-4986-A655-BACA01F782DA}"/>
    <cellStyle name="40% - Accent1 4 2 2 3" xfId="11340" xr:uid="{C5BCAA4F-1CA2-4A51-B536-EC985002697B}"/>
    <cellStyle name="40% - Accent1 4 2 3" xfId="4974" xr:uid="{00000000-0005-0000-0000-00003E040000}"/>
    <cellStyle name="40% - Accent1 4 2 3 2" xfId="13413" xr:uid="{496C536A-1AA5-4FDF-93C8-CFA32660D51B}"/>
    <cellStyle name="40% - Accent1 4 2 4" xfId="9195" xr:uid="{436EBE33-F9B6-4639-9380-2061AC99AF76}"/>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6AF37E06-2135-46F6-8916-4AE0BD0A088B}"/>
    <cellStyle name="40% - Accent1 4 3 2 3" xfId="11753" xr:uid="{47F79C98-4CB8-4CBC-A1F9-9968AA6DE45C}"/>
    <cellStyle name="40% - Accent1 4 3 3" xfId="5387" xr:uid="{00000000-0005-0000-0000-000042040000}"/>
    <cellStyle name="40% - Accent1 4 3 3 2" xfId="13826" xr:uid="{15E924EF-45E1-4592-B153-584A3CC6E49B}"/>
    <cellStyle name="40% - Accent1 4 3 4" xfId="9608" xr:uid="{6BA35A8D-5F0C-4992-8B26-88505506A757}"/>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0609458F-727C-4254-AD34-1735DFF1AA7B}"/>
    <cellStyle name="40% - Accent1 4 4 2 3" xfId="12166" xr:uid="{44E93233-02F1-4307-92A0-E40E42EC52B6}"/>
    <cellStyle name="40% - Accent1 4 4 3" xfId="5800" xr:uid="{00000000-0005-0000-0000-000046040000}"/>
    <cellStyle name="40% - Accent1 4 4 3 2" xfId="14239" xr:uid="{2F5EA69B-8DF3-4320-8715-FA971C0C1669}"/>
    <cellStyle name="40% - Accent1 4 4 4" xfId="10021" xr:uid="{EC09449B-4F6C-4EEA-870C-BD8D31A47E33}"/>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3AFC4E83-69F8-457D-9B7E-2B821AE6B063}"/>
    <cellStyle name="40% - Accent1 4 5 2 3" xfId="12579" xr:uid="{438ABCF8-62D5-4197-BA80-CF11BB92698C}"/>
    <cellStyle name="40% - Accent1 4 5 3" xfId="6213" xr:uid="{00000000-0005-0000-0000-00004A040000}"/>
    <cellStyle name="40% - Accent1 4 5 3 2" xfId="14652" xr:uid="{A5121E43-EDFF-49DA-ADC1-C7E60EF9CC27}"/>
    <cellStyle name="40% - Accent1 4 5 4" xfId="10434" xr:uid="{98700A8E-5D51-4E90-B8D4-777426BD8550}"/>
    <cellStyle name="40% - Accent1 4 6" xfId="2319" xr:uid="{00000000-0005-0000-0000-00004B040000}"/>
    <cellStyle name="40% - Accent1 4 6 2" xfId="6626" xr:uid="{00000000-0005-0000-0000-00004C040000}"/>
    <cellStyle name="40% - Accent1 4 6 2 2" xfId="15065" xr:uid="{0FF0ED5B-B40B-4911-89A4-89FA595AE3B3}"/>
    <cellStyle name="40% - Accent1 4 6 3" xfId="10847" xr:uid="{03332FB5-78CC-49B7-A708-DAA9201F71EF}"/>
    <cellStyle name="40% - Accent1 4 7" xfId="4560" xr:uid="{00000000-0005-0000-0000-00004D040000}"/>
    <cellStyle name="40% - Accent1 4 7 2" xfId="12999" xr:uid="{85938797-66D0-41AC-8E53-E9B0E70E9B51}"/>
    <cellStyle name="40% - Accent1 4 8" xfId="8781" xr:uid="{D3E3F01C-1E32-462D-8E33-36E642DB0E19}"/>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194AD0F1-D5D0-4435-8F65-CC567D5D1B99}"/>
    <cellStyle name="40% - Accent1 5 2 3" xfId="11333" xr:uid="{E0F82120-98A4-4104-9C6A-762D1F3C883A}"/>
    <cellStyle name="40% - Accent1 5 3" xfId="4967" xr:uid="{00000000-0005-0000-0000-000051040000}"/>
    <cellStyle name="40% - Accent1 5 3 2" xfId="13406" xr:uid="{D63F453B-FA38-462B-A93C-6257D7A5E577}"/>
    <cellStyle name="40% - Accent1 5 4" xfId="9188" xr:uid="{BAF42768-35F1-4C4A-985B-A8BAC99B9D7A}"/>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7DEF2818-01F9-4597-9D82-94DC45480240}"/>
    <cellStyle name="40% - Accent1 6 2 3" xfId="11746" xr:uid="{AC83F3E1-139B-47B3-83B2-3CAD076C724D}"/>
    <cellStyle name="40% - Accent1 6 3" xfId="5380" xr:uid="{00000000-0005-0000-0000-000055040000}"/>
    <cellStyle name="40% - Accent1 6 3 2" xfId="13819" xr:uid="{C81112CA-DDCA-4B9A-8A7A-A70950D3C697}"/>
    <cellStyle name="40% - Accent1 6 4" xfId="9601" xr:uid="{10244315-5DB8-4BF3-BCC9-19C6068EE2A6}"/>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B1E04371-6FD8-41E6-95AF-F62FAE80156A}"/>
    <cellStyle name="40% - Accent1 7 2 3" xfId="12159" xr:uid="{D625C63D-2437-489F-B234-9E8C948FE82F}"/>
    <cellStyle name="40% - Accent1 7 3" xfId="5793" xr:uid="{00000000-0005-0000-0000-000059040000}"/>
    <cellStyle name="40% - Accent1 7 3 2" xfId="14232" xr:uid="{5FA58776-4D9E-4969-AE56-02CD109CCF50}"/>
    <cellStyle name="40% - Accent1 7 4" xfId="10014" xr:uid="{24BCB991-721A-4541-83CB-3741114D2BDF}"/>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18E10206-DB5B-4E24-950C-E305D2871951}"/>
    <cellStyle name="40% - Accent1 8 2 3" xfId="12572" xr:uid="{7345B466-579A-4B0C-B391-E7DE8D7C6108}"/>
    <cellStyle name="40% - Accent1 8 3" xfId="6206" xr:uid="{00000000-0005-0000-0000-00005D040000}"/>
    <cellStyle name="40% - Accent1 8 3 2" xfId="14645" xr:uid="{DE687D19-A592-4A4D-BCDC-FE4F0F98109F}"/>
    <cellStyle name="40% - Accent1 8 4" xfId="10427" xr:uid="{196D09C8-D0B6-4550-B7D8-401220B8292E}"/>
    <cellStyle name="40% - Accent1 9" xfId="2312" xr:uid="{00000000-0005-0000-0000-00005E040000}"/>
    <cellStyle name="40% - Accent1 9 2" xfId="6619" xr:uid="{00000000-0005-0000-0000-00005F040000}"/>
    <cellStyle name="40% - Accent1 9 2 2" xfId="15058" xr:uid="{C56E446A-5D9C-4751-9D05-51628D998336}"/>
    <cellStyle name="40% - Accent1 9 3" xfId="10840" xr:uid="{A133F6BC-FF96-477A-938F-BD5C81DA5EDB}"/>
    <cellStyle name="40% - Accent2" xfId="57" builtinId="35" customBuiltin="1"/>
    <cellStyle name="40% - Accent2 10" xfId="4561" xr:uid="{00000000-0005-0000-0000-000061040000}"/>
    <cellStyle name="40% - Accent2 10 2" xfId="13000" xr:uid="{C2630409-D93D-4111-91C9-667B44410883}"/>
    <cellStyle name="40% - Accent2 11" xfId="8782" xr:uid="{EA4D2A9B-9C0C-4941-9E38-D86A76DB0B30}"/>
    <cellStyle name="40% - Accent2 2" xfId="58" xr:uid="{00000000-0005-0000-0000-000062040000}"/>
    <cellStyle name="40% - Accent2 2 10" xfId="8783" xr:uid="{E1042D4A-8A33-48F0-A5C7-8C2157A62297}"/>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297D4497-4B94-4B44-B358-606231F089D3}"/>
    <cellStyle name="40% - Accent2 2 2 2 2 2 3" xfId="11344" xr:uid="{62572FBD-FF17-47FC-9620-EDA3EA12BA1D}"/>
    <cellStyle name="40% - Accent2 2 2 2 2 3" xfId="4978" xr:uid="{00000000-0005-0000-0000-000068040000}"/>
    <cellStyle name="40% - Accent2 2 2 2 2 3 2" xfId="13417" xr:uid="{9FE0E3D2-2AD4-4BC9-928D-7CC8699CF698}"/>
    <cellStyle name="40% - Accent2 2 2 2 2 4" xfId="9199" xr:uid="{3034B8CA-048F-4B50-9AD7-14EDBC9E4778}"/>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39C452D8-15B7-40DA-A396-2E8E97F3E4C9}"/>
    <cellStyle name="40% - Accent2 2 2 2 3 2 3" xfId="11757" xr:uid="{4FBD49E9-D317-4834-9F48-52F8FF43DDC5}"/>
    <cellStyle name="40% - Accent2 2 2 2 3 3" xfId="5391" xr:uid="{00000000-0005-0000-0000-00006C040000}"/>
    <cellStyle name="40% - Accent2 2 2 2 3 3 2" xfId="13830" xr:uid="{6F8C8A55-C5FA-4D2C-8EF2-C2CD999409D6}"/>
    <cellStyle name="40% - Accent2 2 2 2 3 4" xfId="9612" xr:uid="{D5BA3763-CCC8-4259-9040-A9DA3FA95F06}"/>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3A8E1554-EA3D-4683-B5B9-66D98AF995A2}"/>
    <cellStyle name="40% - Accent2 2 2 2 4 2 3" xfId="12170" xr:uid="{39FAE0DE-BD1C-4E8A-9F24-365BA5CC1F14}"/>
    <cellStyle name="40% - Accent2 2 2 2 4 3" xfId="5804" xr:uid="{00000000-0005-0000-0000-000070040000}"/>
    <cellStyle name="40% - Accent2 2 2 2 4 3 2" xfId="14243" xr:uid="{2404D23F-1A46-4ABF-8473-BE131E88C498}"/>
    <cellStyle name="40% - Accent2 2 2 2 4 4" xfId="10025" xr:uid="{BE4B0E3D-5DA1-4CE6-8292-4DDA4939E2BF}"/>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C26FD071-8044-4A91-8783-AACBAA695346}"/>
    <cellStyle name="40% - Accent2 2 2 2 5 2 3" xfId="12583" xr:uid="{7AD9D768-5507-497A-BF73-B1D6E16BF768}"/>
    <cellStyle name="40% - Accent2 2 2 2 5 3" xfId="6217" xr:uid="{00000000-0005-0000-0000-000074040000}"/>
    <cellStyle name="40% - Accent2 2 2 2 5 3 2" xfId="14656" xr:uid="{1EE08824-6CC2-4EB3-BDDB-2FB03FFAEA3C}"/>
    <cellStyle name="40% - Accent2 2 2 2 5 4" xfId="10438" xr:uid="{9F094FCF-4DD7-4B5B-B5C4-C6386400E8B3}"/>
    <cellStyle name="40% - Accent2 2 2 2 6" xfId="2323" xr:uid="{00000000-0005-0000-0000-000075040000}"/>
    <cellStyle name="40% - Accent2 2 2 2 6 2" xfId="6630" xr:uid="{00000000-0005-0000-0000-000076040000}"/>
    <cellStyle name="40% - Accent2 2 2 2 6 2 2" xfId="15069" xr:uid="{EF51989F-C8D1-49CB-95B3-CB58F6C26BAC}"/>
    <cellStyle name="40% - Accent2 2 2 2 6 3" xfId="10851" xr:uid="{3A62F45B-9B31-424B-B313-5EC74EA6EA1C}"/>
    <cellStyle name="40% - Accent2 2 2 2 7" xfId="4564" xr:uid="{00000000-0005-0000-0000-000077040000}"/>
    <cellStyle name="40% - Accent2 2 2 2 7 2" xfId="13003" xr:uid="{FA5C821B-F9A8-4241-B443-471A0A2E9350}"/>
    <cellStyle name="40% - Accent2 2 2 2 8" xfId="8785" xr:uid="{7C4275EE-F2BC-4731-BAB3-0401C3FA105B}"/>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C1C264F7-542B-4EB2-A2E3-A61259C2427B}"/>
    <cellStyle name="40% - Accent2 2 2 3 2 3" xfId="11343" xr:uid="{1C9DA36D-7746-49F4-9653-EC14A09A44AD}"/>
    <cellStyle name="40% - Accent2 2 2 3 3" xfId="4977" xr:uid="{00000000-0005-0000-0000-00007B040000}"/>
    <cellStyle name="40% - Accent2 2 2 3 3 2" xfId="13416" xr:uid="{54D86ACE-D653-4080-8266-648F96C4B61C}"/>
    <cellStyle name="40% - Accent2 2 2 3 4" xfId="9198" xr:uid="{2F9F2D37-FEEF-48B5-A7FD-86EE77A0615B}"/>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4A72869C-A2B2-4B5A-AB73-2826A36F445E}"/>
    <cellStyle name="40% - Accent2 2 2 4 2 3" xfId="11756" xr:uid="{6FE89D30-AB89-4CC1-AAE8-3A7AF791615D}"/>
    <cellStyle name="40% - Accent2 2 2 4 3" xfId="5390" xr:uid="{00000000-0005-0000-0000-00007F040000}"/>
    <cellStyle name="40% - Accent2 2 2 4 3 2" xfId="13829" xr:uid="{65086AC6-E931-48AE-96CA-3CF96EC46359}"/>
    <cellStyle name="40% - Accent2 2 2 4 4" xfId="9611" xr:uid="{1BF83512-5E07-41DE-A4E5-4A093B27C378}"/>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5D85B495-15F0-4557-A8B1-6E268C6EC1AE}"/>
    <cellStyle name="40% - Accent2 2 2 5 2 3" xfId="12169" xr:uid="{43076527-1D09-45AC-983F-B6EA4B94C04C}"/>
    <cellStyle name="40% - Accent2 2 2 5 3" xfId="5803" xr:uid="{00000000-0005-0000-0000-000083040000}"/>
    <cellStyle name="40% - Accent2 2 2 5 3 2" xfId="14242" xr:uid="{13D2D866-3741-4435-9F3D-D6BFF69F243C}"/>
    <cellStyle name="40% - Accent2 2 2 5 4" xfId="10024" xr:uid="{E1BBF548-D4BE-497F-A38F-41AAA02D8772}"/>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4CBDBBB1-CF30-4210-BEFD-F97D49CD9A6F}"/>
    <cellStyle name="40% - Accent2 2 2 6 2 3" xfId="12582" xr:uid="{877A21AB-FF65-48C1-8423-C3F026D0A3D4}"/>
    <cellStyle name="40% - Accent2 2 2 6 3" xfId="6216" xr:uid="{00000000-0005-0000-0000-000087040000}"/>
    <cellStyle name="40% - Accent2 2 2 6 3 2" xfId="14655" xr:uid="{594E2043-0B9C-47E5-BA7F-A1B890153791}"/>
    <cellStyle name="40% - Accent2 2 2 6 4" xfId="10437" xr:uid="{7440B8F5-A958-4DD9-8879-7815AA077D31}"/>
    <cellStyle name="40% - Accent2 2 2 7" xfId="2322" xr:uid="{00000000-0005-0000-0000-000088040000}"/>
    <cellStyle name="40% - Accent2 2 2 7 2" xfId="6629" xr:uid="{00000000-0005-0000-0000-000089040000}"/>
    <cellStyle name="40% - Accent2 2 2 7 2 2" xfId="15068" xr:uid="{7E4C42DC-EF8E-466B-B05E-AD1C1E4AD9BB}"/>
    <cellStyle name="40% - Accent2 2 2 7 3" xfId="10850" xr:uid="{101D209C-44A4-4AE9-B81D-9B60EAC8B796}"/>
    <cellStyle name="40% - Accent2 2 2 8" xfId="4563" xr:uid="{00000000-0005-0000-0000-00008A040000}"/>
    <cellStyle name="40% - Accent2 2 2 8 2" xfId="13002" xr:uid="{A3CD6770-752A-4A98-8DF1-6FF04568FDBF}"/>
    <cellStyle name="40% - Accent2 2 2 9" xfId="8784" xr:uid="{B8EBB1C4-B6B3-478A-B1FE-99BD9BCFE1D1}"/>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C5CAD307-CB68-4684-923B-F2B02D39E200}"/>
    <cellStyle name="40% - Accent2 2 3 2 2 3" xfId="11345" xr:uid="{F552269B-DC5C-499F-BF20-AAEED17B95B8}"/>
    <cellStyle name="40% - Accent2 2 3 2 3" xfId="4979" xr:uid="{00000000-0005-0000-0000-00008F040000}"/>
    <cellStyle name="40% - Accent2 2 3 2 3 2" xfId="13418" xr:uid="{11AEB45F-AC7E-42AA-944C-F079214B10D8}"/>
    <cellStyle name="40% - Accent2 2 3 2 4" xfId="9200" xr:uid="{0C8A3805-37CE-43E7-8FC3-1453BDB09961}"/>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117C755B-CE0F-4BB9-BADB-C79D8429445C}"/>
    <cellStyle name="40% - Accent2 2 3 3 2 3" xfId="11758" xr:uid="{7BE6AB8F-CCAB-4BF4-A99B-66ED1DC95387}"/>
    <cellStyle name="40% - Accent2 2 3 3 3" xfId="5392" xr:uid="{00000000-0005-0000-0000-000093040000}"/>
    <cellStyle name="40% - Accent2 2 3 3 3 2" xfId="13831" xr:uid="{B31F406A-E551-498C-B0E3-19D82302796C}"/>
    <cellStyle name="40% - Accent2 2 3 3 4" xfId="9613" xr:uid="{0211A291-D869-49FB-9EC4-948454C35DD2}"/>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76F39066-6BD3-4DEA-8AA8-1D9C66CC640C}"/>
    <cellStyle name="40% - Accent2 2 3 4 2 3" xfId="12171" xr:uid="{7798C541-DAAF-4770-86CF-9786CE0F9392}"/>
    <cellStyle name="40% - Accent2 2 3 4 3" xfId="5805" xr:uid="{00000000-0005-0000-0000-000097040000}"/>
    <cellStyle name="40% - Accent2 2 3 4 3 2" xfId="14244" xr:uid="{A28E6A32-DD0F-4C26-A61D-8EF7430D97EC}"/>
    <cellStyle name="40% - Accent2 2 3 4 4" xfId="10026" xr:uid="{4FEDAC5A-9160-4992-9FE3-B87FA9360CE8}"/>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424631B8-8FB3-47A2-870B-8FF380534A85}"/>
    <cellStyle name="40% - Accent2 2 3 5 2 3" xfId="12584" xr:uid="{B6827E4E-B199-4FB2-832F-37F689F51807}"/>
    <cellStyle name="40% - Accent2 2 3 5 3" xfId="6218" xr:uid="{00000000-0005-0000-0000-00009B040000}"/>
    <cellStyle name="40% - Accent2 2 3 5 3 2" xfId="14657" xr:uid="{15E82F6F-D3A0-4C4F-B592-370378CDD9FA}"/>
    <cellStyle name="40% - Accent2 2 3 5 4" xfId="10439" xr:uid="{AF4E626E-02C5-4B6C-B755-98200B8CB6F4}"/>
    <cellStyle name="40% - Accent2 2 3 6" xfId="2324" xr:uid="{00000000-0005-0000-0000-00009C040000}"/>
    <cellStyle name="40% - Accent2 2 3 6 2" xfId="6631" xr:uid="{00000000-0005-0000-0000-00009D040000}"/>
    <cellStyle name="40% - Accent2 2 3 6 2 2" xfId="15070" xr:uid="{9F81CCE7-66A6-42CC-9CB3-8E474A6A6FE8}"/>
    <cellStyle name="40% - Accent2 2 3 6 3" xfId="10852" xr:uid="{C716907D-3F81-4996-AF2D-C48DC5891AD0}"/>
    <cellStyle name="40% - Accent2 2 3 7" xfId="4565" xr:uid="{00000000-0005-0000-0000-00009E040000}"/>
    <cellStyle name="40% - Accent2 2 3 7 2" xfId="13004" xr:uid="{9B98DE11-8E00-4E67-9990-4093D50762AC}"/>
    <cellStyle name="40% - Accent2 2 3 8" xfId="8786" xr:uid="{8D3710E2-0802-415E-B258-7A8F0B6AAE2B}"/>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3AFA2A94-698F-4F42-B39F-74449CED56F7}"/>
    <cellStyle name="40% - Accent2 2 4 2 3" xfId="11342" xr:uid="{8CB5A8DA-906D-4166-B70F-ECAF0AA9EFF9}"/>
    <cellStyle name="40% - Accent2 2 4 3" xfId="4976" xr:uid="{00000000-0005-0000-0000-0000A2040000}"/>
    <cellStyle name="40% - Accent2 2 4 3 2" xfId="13415" xr:uid="{03BD768F-C7FF-4F4F-9163-3D7F9B490E40}"/>
    <cellStyle name="40% - Accent2 2 4 4" xfId="9197" xr:uid="{C9181D1B-C44A-44E6-B200-C6DC636EFAF8}"/>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2D13CD99-4DA8-4254-AB89-572F1FB88934}"/>
    <cellStyle name="40% - Accent2 2 5 2 3" xfId="11755" xr:uid="{F6E8ADA1-C499-4F51-8192-1E22718F68B6}"/>
    <cellStyle name="40% - Accent2 2 5 3" xfId="5389" xr:uid="{00000000-0005-0000-0000-0000A6040000}"/>
    <cellStyle name="40% - Accent2 2 5 3 2" xfId="13828" xr:uid="{DBE6A983-8122-4A97-9908-46753E947783}"/>
    <cellStyle name="40% - Accent2 2 5 4" xfId="9610" xr:uid="{5BD6C7A7-4BF6-4FA2-9E24-E1FEFD746074}"/>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39E72951-2756-4F06-A660-83D02CD63210}"/>
    <cellStyle name="40% - Accent2 2 6 2 3" xfId="12168" xr:uid="{BED24BD0-119B-474F-94C2-84BE0F92632B}"/>
    <cellStyle name="40% - Accent2 2 6 3" xfId="5802" xr:uid="{00000000-0005-0000-0000-0000AA040000}"/>
    <cellStyle name="40% - Accent2 2 6 3 2" xfId="14241" xr:uid="{E21BF3D8-5FDC-4090-BEEB-F1D42A4E214C}"/>
    <cellStyle name="40% - Accent2 2 6 4" xfId="10023" xr:uid="{17EECA95-48D3-4DE8-9138-4C6A4365FB57}"/>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A8541F4E-E428-40F7-8DE6-CA4C01048572}"/>
    <cellStyle name="40% - Accent2 2 7 2 3" xfId="12581" xr:uid="{9E655B6C-900C-4368-BE87-3D5775DBAD36}"/>
    <cellStyle name="40% - Accent2 2 7 3" xfId="6215" xr:uid="{00000000-0005-0000-0000-0000AE040000}"/>
    <cellStyle name="40% - Accent2 2 7 3 2" xfId="14654" xr:uid="{2A07A7F8-3BD3-4D3B-A62E-B3788121EC2C}"/>
    <cellStyle name="40% - Accent2 2 7 4" xfId="10436" xr:uid="{775A4B08-81EF-4D13-9F9A-A56981B5974D}"/>
    <cellStyle name="40% - Accent2 2 8" xfId="2321" xr:uid="{00000000-0005-0000-0000-0000AF040000}"/>
    <cellStyle name="40% - Accent2 2 8 2" xfId="6628" xr:uid="{00000000-0005-0000-0000-0000B0040000}"/>
    <cellStyle name="40% - Accent2 2 8 2 2" xfId="15067" xr:uid="{44CAF074-72AF-420A-A736-01FAA9F6E147}"/>
    <cellStyle name="40% - Accent2 2 8 3" xfId="10849" xr:uid="{7083093A-49A4-4B16-B8B4-7FB96116A3D6}"/>
    <cellStyle name="40% - Accent2 2 9" xfId="4562" xr:uid="{00000000-0005-0000-0000-0000B1040000}"/>
    <cellStyle name="40% - Accent2 2 9 2" xfId="13001" xr:uid="{FEDCDDDB-4261-49F0-907C-18CE65326FAA}"/>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39E3E1D2-B03E-42F6-A888-ABA095E78C8A}"/>
    <cellStyle name="40% - Accent2 3 2 2 2 3" xfId="11347" xr:uid="{7770A69A-724A-4199-B002-DCFD5E9E1F90}"/>
    <cellStyle name="40% - Accent2 3 2 2 3" xfId="4981" xr:uid="{00000000-0005-0000-0000-0000B7040000}"/>
    <cellStyle name="40% - Accent2 3 2 2 3 2" xfId="13420" xr:uid="{14A05B06-0B61-4964-A259-5C0E6DC01353}"/>
    <cellStyle name="40% - Accent2 3 2 2 4" xfId="9202" xr:uid="{939C7F10-9241-452C-A389-9EEE23730EC9}"/>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9EEBA85F-982D-4347-A413-A78D70221E8E}"/>
    <cellStyle name="40% - Accent2 3 2 3 2 3" xfId="11760" xr:uid="{7EC86630-DE37-43CA-93B1-21AED61FF21A}"/>
    <cellStyle name="40% - Accent2 3 2 3 3" xfId="5394" xr:uid="{00000000-0005-0000-0000-0000BB040000}"/>
    <cellStyle name="40% - Accent2 3 2 3 3 2" xfId="13833" xr:uid="{CA00DA56-B876-448B-B975-8B3D18B01448}"/>
    <cellStyle name="40% - Accent2 3 2 3 4" xfId="9615" xr:uid="{4BF831E5-A299-48A7-A2C5-AF760A4862B8}"/>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4870C1F4-F41F-48EB-A1F5-335591630360}"/>
    <cellStyle name="40% - Accent2 3 2 4 2 3" xfId="12173" xr:uid="{C1A147E9-463D-4AFF-8F1D-997D27F63297}"/>
    <cellStyle name="40% - Accent2 3 2 4 3" xfId="5807" xr:uid="{00000000-0005-0000-0000-0000BF040000}"/>
    <cellStyle name="40% - Accent2 3 2 4 3 2" xfId="14246" xr:uid="{E2AADDC9-6B0C-44EA-A143-643578C4EADB}"/>
    <cellStyle name="40% - Accent2 3 2 4 4" xfId="10028" xr:uid="{FFCBF623-5647-428B-98D4-29DA381ED367}"/>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D5FE5A10-7211-464A-A50C-EC770BB3CDB1}"/>
    <cellStyle name="40% - Accent2 3 2 5 2 3" xfId="12586" xr:uid="{8175DA87-7CA0-4043-B013-7ACCDEA23674}"/>
    <cellStyle name="40% - Accent2 3 2 5 3" xfId="6220" xr:uid="{00000000-0005-0000-0000-0000C3040000}"/>
    <cellStyle name="40% - Accent2 3 2 5 3 2" xfId="14659" xr:uid="{02CEEE15-5BB6-40AD-BB85-E08B11F363C2}"/>
    <cellStyle name="40% - Accent2 3 2 5 4" xfId="10441" xr:uid="{87F45A73-04B3-49B9-9897-AD51928F60E6}"/>
    <cellStyle name="40% - Accent2 3 2 6" xfId="2326" xr:uid="{00000000-0005-0000-0000-0000C4040000}"/>
    <cellStyle name="40% - Accent2 3 2 6 2" xfId="6633" xr:uid="{00000000-0005-0000-0000-0000C5040000}"/>
    <cellStyle name="40% - Accent2 3 2 6 2 2" xfId="15072" xr:uid="{EC1F74ED-4A8F-4F29-AC2F-3AAFDF11775F}"/>
    <cellStyle name="40% - Accent2 3 2 6 3" xfId="10854" xr:uid="{B02E3E91-1E9F-43BD-AF7C-4D36D42B9547}"/>
    <cellStyle name="40% - Accent2 3 2 7" xfId="4567" xr:uid="{00000000-0005-0000-0000-0000C6040000}"/>
    <cellStyle name="40% - Accent2 3 2 7 2" xfId="13006" xr:uid="{52A54B39-55E0-4C3C-8B43-0ADA7796E63E}"/>
    <cellStyle name="40% - Accent2 3 2 8" xfId="8788" xr:uid="{6FB112C1-8146-4176-9002-668A62098430}"/>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37C130D3-A4AF-4C95-8FF2-2C82E2AE3906}"/>
    <cellStyle name="40% - Accent2 3 3 2 3" xfId="11346" xr:uid="{3512D98C-3496-43FC-BE0F-4C4D549E9699}"/>
    <cellStyle name="40% - Accent2 3 3 3" xfId="4980" xr:uid="{00000000-0005-0000-0000-0000CA040000}"/>
    <cellStyle name="40% - Accent2 3 3 3 2" xfId="13419" xr:uid="{F89E3D7E-6E99-4FB6-BED0-44DCD3FB678B}"/>
    <cellStyle name="40% - Accent2 3 3 4" xfId="9201" xr:uid="{C5EC8927-493E-4FEC-82B5-637B469C7AD9}"/>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354037B3-83C2-4146-9B4E-04C28BCA2D79}"/>
    <cellStyle name="40% - Accent2 3 4 2 3" xfId="11759" xr:uid="{18D19F61-E50F-4BF3-A4EF-A8DF60D01529}"/>
    <cellStyle name="40% - Accent2 3 4 3" xfId="5393" xr:uid="{00000000-0005-0000-0000-0000CE040000}"/>
    <cellStyle name="40% - Accent2 3 4 3 2" xfId="13832" xr:uid="{E9368E04-B227-41C5-BBE4-F4B92E1924D3}"/>
    <cellStyle name="40% - Accent2 3 4 4" xfId="9614" xr:uid="{18C05079-F04F-4C63-8A56-D45CDABCAB5C}"/>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C321D6A5-4B9B-446A-B190-920EEE692830}"/>
    <cellStyle name="40% - Accent2 3 5 2 3" xfId="12172" xr:uid="{D5AAB183-1694-4D69-B538-D7FE5D59AAA6}"/>
    <cellStyle name="40% - Accent2 3 5 3" xfId="5806" xr:uid="{00000000-0005-0000-0000-0000D2040000}"/>
    <cellStyle name="40% - Accent2 3 5 3 2" xfId="14245" xr:uid="{35C98880-09B0-4DD5-B820-EC6F0B996123}"/>
    <cellStyle name="40% - Accent2 3 5 4" xfId="10027" xr:uid="{46629D29-D331-4ED5-A900-4BADFB0A7429}"/>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9CF08618-F6EC-4CFF-9221-AA630CABB63B}"/>
    <cellStyle name="40% - Accent2 3 6 2 3" xfId="12585" xr:uid="{DE51C2FD-C466-4B18-ABC1-C1028BACF3E8}"/>
    <cellStyle name="40% - Accent2 3 6 3" xfId="6219" xr:uid="{00000000-0005-0000-0000-0000D6040000}"/>
    <cellStyle name="40% - Accent2 3 6 3 2" xfId="14658" xr:uid="{A4052D61-27AB-4B73-B8D5-38F069A282DF}"/>
    <cellStyle name="40% - Accent2 3 6 4" xfId="10440" xr:uid="{2AEA4A44-5859-4CE6-9E75-2A7EA28C938F}"/>
    <cellStyle name="40% - Accent2 3 7" xfId="2325" xr:uid="{00000000-0005-0000-0000-0000D7040000}"/>
    <cellStyle name="40% - Accent2 3 7 2" xfId="6632" xr:uid="{00000000-0005-0000-0000-0000D8040000}"/>
    <cellStyle name="40% - Accent2 3 7 2 2" xfId="15071" xr:uid="{34FE3FB9-D128-4D97-A9AF-63A4EEC633D7}"/>
    <cellStyle name="40% - Accent2 3 7 3" xfId="10853" xr:uid="{649A0D26-A694-4138-B225-588391AB471A}"/>
    <cellStyle name="40% - Accent2 3 8" xfId="4566" xr:uid="{00000000-0005-0000-0000-0000D9040000}"/>
    <cellStyle name="40% - Accent2 3 8 2" xfId="13005" xr:uid="{39593607-B01B-4EB6-AD3A-4CC0C9BB8F5D}"/>
    <cellStyle name="40% - Accent2 3 9" xfId="8787" xr:uid="{A618E891-D9D7-47A1-BDBB-D44D6F9DB7AA}"/>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B6588D76-D11C-4B46-ACF7-89B4509E8D9C}"/>
    <cellStyle name="40% - Accent2 4 2 2 3" xfId="11348" xr:uid="{50A41BE2-C596-429A-B835-DD600A21A71D}"/>
    <cellStyle name="40% - Accent2 4 2 3" xfId="4982" xr:uid="{00000000-0005-0000-0000-0000DE040000}"/>
    <cellStyle name="40% - Accent2 4 2 3 2" xfId="13421" xr:uid="{2002E559-13A0-4443-AC65-FF0E635411B2}"/>
    <cellStyle name="40% - Accent2 4 2 4" xfId="9203" xr:uid="{F003005E-DE05-448C-922D-B66B979F4490}"/>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8CC6737E-1846-42FD-B06F-A947B657BBFD}"/>
    <cellStyle name="40% - Accent2 4 3 2 3" xfId="11761" xr:uid="{9C86883C-8FB2-40EC-BB44-F87C5DEE9F90}"/>
    <cellStyle name="40% - Accent2 4 3 3" xfId="5395" xr:uid="{00000000-0005-0000-0000-0000E2040000}"/>
    <cellStyle name="40% - Accent2 4 3 3 2" xfId="13834" xr:uid="{092E9C6F-E1D3-4A8C-8ED8-6591CEBD3ED0}"/>
    <cellStyle name="40% - Accent2 4 3 4" xfId="9616" xr:uid="{2663C6F5-7744-4D66-BF19-48FCEBB4D745}"/>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EBEFCEBA-F0D5-4C3E-AE76-2A682218DDAF}"/>
    <cellStyle name="40% - Accent2 4 4 2 3" xfId="12174" xr:uid="{1D26BB4F-E5CE-43C0-93A9-7CCCA41D6749}"/>
    <cellStyle name="40% - Accent2 4 4 3" xfId="5808" xr:uid="{00000000-0005-0000-0000-0000E6040000}"/>
    <cellStyle name="40% - Accent2 4 4 3 2" xfId="14247" xr:uid="{121E2FA4-76E9-41D2-9C2E-BE3F67C956AF}"/>
    <cellStyle name="40% - Accent2 4 4 4" xfId="10029" xr:uid="{9C7BA887-BE55-4B10-8B03-F6F25C2AF2C3}"/>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F681DC04-F078-4CAE-AA4C-5D16626F6579}"/>
    <cellStyle name="40% - Accent2 4 5 2 3" xfId="12587" xr:uid="{DD7D97A3-217A-4419-A10E-E8CE0DF0DD10}"/>
    <cellStyle name="40% - Accent2 4 5 3" xfId="6221" xr:uid="{00000000-0005-0000-0000-0000EA040000}"/>
    <cellStyle name="40% - Accent2 4 5 3 2" xfId="14660" xr:uid="{8DB09B55-E1D4-4AFD-A837-575B911EAB6C}"/>
    <cellStyle name="40% - Accent2 4 5 4" xfId="10442" xr:uid="{69060648-0E54-420A-9DC0-6D02F0ABFDB0}"/>
    <cellStyle name="40% - Accent2 4 6" xfId="2327" xr:uid="{00000000-0005-0000-0000-0000EB040000}"/>
    <cellStyle name="40% - Accent2 4 6 2" xfId="6634" xr:uid="{00000000-0005-0000-0000-0000EC040000}"/>
    <cellStyle name="40% - Accent2 4 6 2 2" xfId="15073" xr:uid="{0379495E-C286-48F8-97F4-1B0788C73C8B}"/>
    <cellStyle name="40% - Accent2 4 6 3" xfId="10855" xr:uid="{B1CE89FD-A949-430F-9EB1-119F827B902E}"/>
    <cellStyle name="40% - Accent2 4 7" xfId="4568" xr:uid="{00000000-0005-0000-0000-0000ED040000}"/>
    <cellStyle name="40% - Accent2 4 7 2" xfId="13007" xr:uid="{A04A11F9-7D45-48A7-8831-7CDC27A5F51B}"/>
    <cellStyle name="40% - Accent2 4 8" xfId="8789" xr:uid="{EE1AB897-92B1-4F9C-839B-ED965877325C}"/>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34FE4755-9F5D-4B13-A258-AA17A2D81E8F}"/>
    <cellStyle name="40% - Accent2 5 2 3" xfId="11341" xr:uid="{A10C9440-623B-4EAD-99F7-B11A6EABFE17}"/>
    <cellStyle name="40% - Accent2 5 3" xfId="4975" xr:uid="{00000000-0005-0000-0000-0000F1040000}"/>
    <cellStyle name="40% - Accent2 5 3 2" xfId="13414" xr:uid="{37F7DD91-ADDE-48E4-8E7F-7B543164D434}"/>
    <cellStyle name="40% - Accent2 5 4" xfId="9196" xr:uid="{EACBE782-D078-463B-A939-781B168DF8ED}"/>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5A123729-A2D6-4744-B908-017279DA25B3}"/>
    <cellStyle name="40% - Accent2 6 2 3" xfId="11754" xr:uid="{275D2765-5150-406E-949C-7D6F9D254798}"/>
    <cellStyle name="40% - Accent2 6 3" xfId="5388" xr:uid="{00000000-0005-0000-0000-0000F5040000}"/>
    <cellStyle name="40% - Accent2 6 3 2" xfId="13827" xr:uid="{1802C476-D5C7-48E0-B9E5-14182192FF28}"/>
    <cellStyle name="40% - Accent2 6 4" xfId="9609" xr:uid="{7E193544-B315-4DF0-94F6-9FE9147D0A5D}"/>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408E0C52-E368-4C2E-83FC-9421BA8DE1B5}"/>
    <cellStyle name="40% - Accent2 7 2 3" xfId="12167" xr:uid="{7687B878-D34B-4715-8026-FF2477FC6988}"/>
    <cellStyle name="40% - Accent2 7 3" xfId="5801" xr:uid="{00000000-0005-0000-0000-0000F9040000}"/>
    <cellStyle name="40% - Accent2 7 3 2" xfId="14240" xr:uid="{B088D4A3-8B3D-4620-B4E9-630E2125B4B8}"/>
    <cellStyle name="40% - Accent2 7 4" xfId="10022" xr:uid="{D586B69E-99A9-4241-BD8B-429690A7BA6E}"/>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469F708C-9739-4BEA-A4E6-F2CAD981CB57}"/>
    <cellStyle name="40% - Accent2 8 2 3" xfId="12580" xr:uid="{BDAB101A-E691-409A-8635-ADA0BB1603F6}"/>
    <cellStyle name="40% - Accent2 8 3" xfId="6214" xr:uid="{00000000-0005-0000-0000-0000FD040000}"/>
    <cellStyle name="40% - Accent2 8 3 2" xfId="14653" xr:uid="{327474FF-92C2-40B2-A217-2949580807DE}"/>
    <cellStyle name="40% - Accent2 8 4" xfId="10435" xr:uid="{268A5506-BF79-40E2-8E56-0F58BADFD284}"/>
    <cellStyle name="40% - Accent2 9" xfId="2320" xr:uid="{00000000-0005-0000-0000-0000FE040000}"/>
    <cellStyle name="40% - Accent2 9 2" xfId="6627" xr:uid="{00000000-0005-0000-0000-0000FF040000}"/>
    <cellStyle name="40% - Accent2 9 2 2" xfId="15066" xr:uid="{D2741776-7823-4A6A-9893-89C6ACCD480F}"/>
    <cellStyle name="40% - Accent2 9 3" xfId="10848" xr:uid="{4F9A0444-19DD-4DDB-82DB-16E117219C10}"/>
    <cellStyle name="40% - Accent3" xfId="65" builtinId="39" customBuiltin="1"/>
    <cellStyle name="40% - Accent3 10" xfId="4569" xr:uid="{00000000-0005-0000-0000-000001050000}"/>
    <cellStyle name="40% - Accent3 10 2" xfId="13008" xr:uid="{D9778359-7C1B-4FD6-ABD1-ABAF3E2E779D}"/>
    <cellStyle name="40% - Accent3 11" xfId="8790" xr:uid="{D3ACD2DF-B422-4BBF-8CB1-38C299D37841}"/>
    <cellStyle name="40% - Accent3 2" xfId="66" xr:uid="{00000000-0005-0000-0000-000002050000}"/>
    <cellStyle name="40% - Accent3 2 10" xfId="8791" xr:uid="{A790FC6F-55CE-4546-BE4F-5890F8D99F7C}"/>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5EA12F23-1E34-4E91-96BC-13D556615039}"/>
    <cellStyle name="40% - Accent3 2 2 2 2 2 3" xfId="11352" xr:uid="{F174893C-7BCD-4901-917E-30B9E822A5AB}"/>
    <cellStyle name="40% - Accent3 2 2 2 2 3" xfId="4986" xr:uid="{00000000-0005-0000-0000-000008050000}"/>
    <cellStyle name="40% - Accent3 2 2 2 2 3 2" xfId="13425" xr:uid="{8A4991EA-3B1A-4BFB-9E34-ADC8874D726C}"/>
    <cellStyle name="40% - Accent3 2 2 2 2 4" xfId="9207" xr:uid="{09B15E72-59DD-41EA-8F57-7989C65871F4}"/>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7898D52E-77D0-47A3-93DC-DE7709BD1245}"/>
    <cellStyle name="40% - Accent3 2 2 2 3 2 3" xfId="11765" xr:uid="{8DC9D238-AB60-413F-960C-034D6E28293E}"/>
    <cellStyle name="40% - Accent3 2 2 2 3 3" xfId="5399" xr:uid="{00000000-0005-0000-0000-00000C050000}"/>
    <cellStyle name="40% - Accent3 2 2 2 3 3 2" xfId="13838" xr:uid="{C022B11B-670A-4C13-9300-04FEE3405645}"/>
    <cellStyle name="40% - Accent3 2 2 2 3 4" xfId="9620" xr:uid="{11C2354F-B25E-4943-A7A9-20798F875B93}"/>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0F1A6A3F-FD4A-4773-83BE-D6B7D5916224}"/>
    <cellStyle name="40% - Accent3 2 2 2 4 2 3" xfId="12178" xr:uid="{BB1F5498-B738-4866-A246-AAE02B1E87CE}"/>
    <cellStyle name="40% - Accent3 2 2 2 4 3" xfId="5812" xr:uid="{00000000-0005-0000-0000-000010050000}"/>
    <cellStyle name="40% - Accent3 2 2 2 4 3 2" xfId="14251" xr:uid="{12C7108B-3658-4774-9E52-327ED137BE22}"/>
    <cellStyle name="40% - Accent3 2 2 2 4 4" xfId="10033" xr:uid="{04766068-0367-484F-A4DD-E804CFFC8EF6}"/>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A23E05ED-F49B-4DE8-87A8-9366700C149A}"/>
    <cellStyle name="40% - Accent3 2 2 2 5 2 3" xfId="12591" xr:uid="{F534C1D6-6EFB-4F32-89B8-DDC68986CFAC}"/>
    <cellStyle name="40% - Accent3 2 2 2 5 3" xfId="6225" xr:uid="{00000000-0005-0000-0000-000014050000}"/>
    <cellStyle name="40% - Accent3 2 2 2 5 3 2" xfId="14664" xr:uid="{6D9F8418-59F4-48D1-81BF-CDE8AD634422}"/>
    <cellStyle name="40% - Accent3 2 2 2 5 4" xfId="10446" xr:uid="{5A6572FE-C157-44F1-9585-A1134D26F9DE}"/>
    <cellStyle name="40% - Accent3 2 2 2 6" xfId="2331" xr:uid="{00000000-0005-0000-0000-000015050000}"/>
    <cellStyle name="40% - Accent3 2 2 2 6 2" xfId="6638" xr:uid="{00000000-0005-0000-0000-000016050000}"/>
    <cellStyle name="40% - Accent3 2 2 2 6 2 2" xfId="15077" xr:uid="{C80E20C8-A865-4184-9B02-BB1C675B1401}"/>
    <cellStyle name="40% - Accent3 2 2 2 6 3" xfId="10859" xr:uid="{DB6458E3-865C-4028-A2F1-A4E322CA3FFF}"/>
    <cellStyle name="40% - Accent3 2 2 2 7" xfId="4572" xr:uid="{00000000-0005-0000-0000-000017050000}"/>
    <cellStyle name="40% - Accent3 2 2 2 7 2" xfId="13011" xr:uid="{FEB8C155-93AA-4DF5-B06F-51A8C37D0BDE}"/>
    <cellStyle name="40% - Accent3 2 2 2 8" xfId="8793" xr:uid="{0D5C67B3-7E76-47B3-A73D-B7F6A3C5BF22}"/>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9B495F8B-6D04-48B4-9913-EB66B66B637E}"/>
    <cellStyle name="40% - Accent3 2 2 3 2 3" xfId="11351" xr:uid="{24274ABD-E1BB-4980-8B92-772E725B749C}"/>
    <cellStyle name="40% - Accent3 2 2 3 3" xfId="4985" xr:uid="{00000000-0005-0000-0000-00001B050000}"/>
    <cellStyle name="40% - Accent3 2 2 3 3 2" xfId="13424" xr:uid="{ED83863C-CEDE-4ADB-976C-66085CA179A7}"/>
    <cellStyle name="40% - Accent3 2 2 3 4" xfId="9206" xr:uid="{B45BE39C-3E80-465C-AF86-7662BFC881EA}"/>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DF72F275-4AA6-44D7-8351-385EA69EEC64}"/>
    <cellStyle name="40% - Accent3 2 2 4 2 3" xfId="11764" xr:uid="{6A1C7B22-45B1-4BBE-B9D2-60E474C36736}"/>
    <cellStyle name="40% - Accent3 2 2 4 3" xfId="5398" xr:uid="{00000000-0005-0000-0000-00001F050000}"/>
    <cellStyle name="40% - Accent3 2 2 4 3 2" xfId="13837" xr:uid="{CD60DC2D-05E0-472C-BAC8-10D4E670B856}"/>
    <cellStyle name="40% - Accent3 2 2 4 4" xfId="9619" xr:uid="{66987BDA-AE53-4F26-B5B4-861BB54F902C}"/>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20D302BF-BBC8-4F01-8E2C-4E59F4F68577}"/>
    <cellStyle name="40% - Accent3 2 2 5 2 3" xfId="12177" xr:uid="{BC0333F7-1344-4F48-9E42-9D0549C52748}"/>
    <cellStyle name="40% - Accent3 2 2 5 3" xfId="5811" xr:uid="{00000000-0005-0000-0000-000023050000}"/>
    <cellStyle name="40% - Accent3 2 2 5 3 2" xfId="14250" xr:uid="{79890323-C629-4A30-B007-6399F443FA68}"/>
    <cellStyle name="40% - Accent3 2 2 5 4" xfId="10032" xr:uid="{17655ED7-CDB6-49BD-8C30-FA1F67A660CF}"/>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4715AD10-DF1C-44ED-8ABD-E6020E9B4536}"/>
    <cellStyle name="40% - Accent3 2 2 6 2 3" xfId="12590" xr:uid="{51E0E13D-B29C-4D38-BAF1-64078252C66F}"/>
    <cellStyle name="40% - Accent3 2 2 6 3" xfId="6224" xr:uid="{00000000-0005-0000-0000-000027050000}"/>
    <cellStyle name="40% - Accent3 2 2 6 3 2" xfId="14663" xr:uid="{B45D8269-692E-49D5-B5C6-0784E9ACFF58}"/>
    <cellStyle name="40% - Accent3 2 2 6 4" xfId="10445" xr:uid="{A9AFB099-DC33-4B83-8FBB-8F71DC23537C}"/>
    <cellStyle name="40% - Accent3 2 2 7" xfId="2330" xr:uid="{00000000-0005-0000-0000-000028050000}"/>
    <cellStyle name="40% - Accent3 2 2 7 2" xfId="6637" xr:uid="{00000000-0005-0000-0000-000029050000}"/>
    <cellStyle name="40% - Accent3 2 2 7 2 2" xfId="15076" xr:uid="{80DF3CBF-5AF0-4C5A-8211-0256472F1FE7}"/>
    <cellStyle name="40% - Accent3 2 2 7 3" xfId="10858" xr:uid="{A4AF5ADC-19E6-4AF5-8D92-44085D6C9C94}"/>
    <cellStyle name="40% - Accent3 2 2 8" xfId="4571" xr:uid="{00000000-0005-0000-0000-00002A050000}"/>
    <cellStyle name="40% - Accent3 2 2 8 2" xfId="13010" xr:uid="{AC6B3ACF-C524-4B6F-A431-3F71811937F7}"/>
    <cellStyle name="40% - Accent3 2 2 9" xfId="8792" xr:uid="{03399B7C-C62A-4567-8821-EA2311ABBFCC}"/>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1A304783-09D6-4FA1-B2B7-756910AC3AA3}"/>
    <cellStyle name="40% - Accent3 2 3 2 2 3" xfId="11353" xr:uid="{66091AED-3E83-4B9A-8EBF-4B15DA0E3D57}"/>
    <cellStyle name="40% - Accent3 2 3 2 3" xfId="4987" xr:uid="{00000000-0005-0000-0000-00002F050000}"/>
    <cellStyle name="40% - Accent3 2 3 2 3 2" xfId="13426" xr:uid="{0CD1464E-1100-4732-B0DC-38B60CE036D2}"/>
    <cellStyle name="40% - Accent3 2 3 2 4" xfId="9208" xr:uid="{62DCC356-DB85-4F35-A2B0-DEA827BBBD67}"/>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593B7B89-7FA3-44D0-B1A8-C9A1C0A3E4A9}"/>
    <cellStyle name="40% - Accent3 2 3 3 2 3" xfId="11766" xr:uid="{74E4D0F8-7E5F-4EBF-86D4-D2F53480E5B4}"/>
    <cellStyle name="40% - Accent3 2 3 3 3" xfId="5400" xr:uid="{00000000-0005-0000-0000-000033050000}"/>
    <cellStyle name="40% - Accent3 2 3 3 3 2" xfId="13839" xr:uid="{E448EFC7-3B55-4D99-95FA-85C220924F4E}"/>
    <cellStyle name="40% - Accent3 2 3 3 4" xfId="9621" xr:uid="{14049B1C-8D79-40F5-9EEB-D2389D3DA430}"/>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B48B90A2-2C82-4617-9681-A3952EB0C711}"/>
    <cellStyle name="40% - Accent3 2 3 4 2 3" xfId="12179" xr:uid="{FC83C7FF-3D08-414B-B00A-3273D1067D45}"/>
    <cellStyle name="40% - Accent3 2 3 4 3" xfId="5813" xr:uid="{00000000-0005-0000-0000-000037050000}"/>
    <cellStyle name="40% - Accent3 2 3 4 3 2" xfId="14252" xr:uid="{DE783ED6-01AB-4CD9-9503-D2EA97FF1F0F}"/>
    <cellStyle name="40% - Accent3 2 3 4 4" xfId="10034" xr:uid="{3F7367A2-2311-4791-BFD9-DB18537F162F}"/>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1D1400C2-9A7C-4313-AEFA-4913B370D49B}"/>
    <cellStyle name="40% - Accent3 2 3 5 2 3" xfId="12592" xr:uid="{DAC77734-7012-4AD5-BCE7-56E4D869AA13}"/>
    <cellStyle name="40% - Accent3 2 3 5 3" xfId="6226" xr:uid="{00000000-0005-0000-0000-00003B050000}"/>
    <cellStyle name="40% - Accent3 2 3 5 3 2" xfId="14665" xr:uid="{B3EBAAF0-2362-4A50-9139-CE35FD02F06D}"/>
    <cellStyle name="40% - Accent3 2 3 5 4" xfId="10447" xr:uid="{EB8F2760-7399-4CC5-9071-8528D9466B9E}"/>
    <cellStyle name="40% - Accent3 2 3 6" xfId="2332" xr:uid="{00000000-0005-0000-0000-00003C050000}"/>
    <cellStyle name="40% - Accent3 2 3 6 2" xfId="6639" xr:uid="{00000000-0005-0000-0000-00003D050000}"/>
    <cellStyle name="40% - Accent3 2 3 6 2 2" xfId="15078" xr:uid="{81B11900-D17D-45E7-BCA7-88BB44F6E8D9}"/>
    <cellStyle name="40% - Accent3 2 3 6 3" xfId="10860" xr:uid="{F2F5F465-1637-4880-9581-B08E0EEA29C3}"/>
    <cellStyle name="40% - Accent3 2 3 7" xfId="4573" xr:uid="{00000000-0005-0000-0000-00003E050000}"/>
    <cellStyle name="40% - Accent3 2 3 7 2" xfId="13012" xr:uid="{41B28277-C49D-4245-9180-359D0019A89F}"/>
    <cellStyle name="40% - Accent3 2 3 8" xfId="8794" xr:uid="{A38FDF16-77FE-4B2A-ADCA-7ABEB20A1974}"/>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169F4942-AC07-465A-9A4A-89C61073F389}"/>
    <cellStyle name="40% - Accent3 2 4 2 3" xfId="11350" xr:uid="{059F7CB2-082B-4A41-A917-98157C9102CB}"/>
    <cellStyle name="40% - Accent3 2 4 3" xfId="4984" xr:uid="{00000000-0005-0000-0000-000042050000}"/>
    <cellStyle name="40% - Accent3 2 4 3 2" xfId="13423" xr:uid="{852FE4FD-A798-4C94-9F1B-D85AE6401ED6}"/>
    <cellStyle name="40% - Accent3 2 4 4" xfId="9205" xr:uid="{AE4C3224-211C-4ABE-B509-024DE3A4753C}"/>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DA495438-009D-4FD7-B874-C092A4A2FFA0}"/>
    <cellStyle name="40% - Accent3 2 5 2 3" xfId="11763" xr:uid="{3610ED03-9074-4B5F-984A-852B5CE82707}"/>
    <cellStyle name="40% - Accent3 2 5 3" xfId="5397" xr:uid="{00000000-0005-0000-0000-000046050000}"/>
    <cellStyle name="40% - Accent3 2 5 3 2" xfId="13836" xr:uid="{274EC664-A43C-4B29-9156-8D0B008292CD}"/>
    <cellStyle name="40% - Accent3 2 5 4" xfId="9618" xr:uid="{153D75DA-48AC-4C9D-8F89-67DAA19C8ED1}"/>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BF3A8913-4794-49F4-8ACD-58B09E89AFB8}"/>
    <cellStyle name="40% - Accent3 2 6 2 3" xfId="12176" xr:uid="{0A3FF472-8897-4A39-8292-017F8D207B9F}"/>
    <cellStyle name="40% - Accent3 2 6 3" xfId="5810" xr:uid="{00000000-0005-0000-0000-00004A050000}"/>
    <cellStyle name="40% - Accent3 2 6 3 2" xfId="14249" xr:uid="{A7B6C86A-3032-4BAB-B056-0D575311605F}"/>
    <cellStyle name="40% - Accent3 2 6 4" xfId="10031" xr:uid="{1E878824-9395-46C2-A94F-7BB53E278B9F}"/>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7F098465-67E6-4F95-B3A9-492DE479F92C}"/>
    <cellStyle name="40% - Accent3 2 7 2 3" xfId="12589" xr:uid="{5B1658AE-10EE-4D7F-B24F-9C693B77B623}"/>
    <cellStyle name="40% - Accent3 2 7 3" xfId="6223" xr:uid="{00000000-0005-0000-0000-00004E050000}"/>
    <cellStyle name="40% - Accent3 2 7 3 2" xfId="14662" xr:uid="{3BC7B777-7C13-4336-8003-15DD8D86CDD3}"/>
    <cellStyle name="40% - Accent3 2 7 4" xfId="10444" xr:uid="{743F3C2F-D244-4251-87F1-892E84EA85AA}"/>
    <cellStyle name="40% - Accent3 2 8" xfId="2329" xr:uid="{00000000-0005-0000-0000-00004F050000}"/>
    <cellStyle name="40% - Accent3 2 8 2" xfId="6636" xr:uid="{00000000-0005-0000-0000-000050050000}"/>
    <cellStyle name="40% - Accent3 2 8 2 2" xfId="15075" xr:uid="{C98419AD-6318-41DD-9532-5B1D266BF659}"/>
    <cellStyle name="40% - Accent3 2 8 3" xfId="10857" xr:uid="{67AB2DD2-B5B9-4D27-B17B-ED1DBF0B1BFF}"/>
    <cellStyle name="40% - Accent3 2 9" xfId="4570" xr:uid="{00000000-0005-0000-0000-000051050000}"/>
    <cellStyle name="40% - Accent3 2 9 2" xfId="13009" xr:uid="{35D9896C-4F5E-40DD-BC05-A510BA4DB5E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F9A104DF-58A6-4865-AEE5-B2121C53AE66}"/>
    <cellStyle name="40% - Accent3 3 2 2 2 3" xfId="11355" xr:uid="{7E972638-E1C6-4E7E-9AAE-0BBDC059D9C1}"/>
    <cellStyle name="40% - Accent3 3 2 2 3" xfId="4989" xr:uid="{00000000-0005-0000-0000-000057050000}"/>
    <cellStyle name="40% - Accent3 3 2 2 3 2" xfId="13428" xr:uid="{F6B37CD6-BE3B-4EC0-8FDA-6E3F428D57BF}"/>
    <cellStyle name="40% - Accent3 3 2 2 4" xfId="9210" xr:uid="{4C2426AB-51EF-4279-BB1E-1E7724D0B719}"/>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85E505DE-5100-4A9E-AED9-D3F19AA36F79}"/>
    <cellStyle name="40% - Accent3 3 2 3 2 3" xfId="11768" xr:uid="{3D8F1215-8E32-4E22-9721-D8D9A5F74321}"/>
    <cellStyle name="40% - Accent3 3 2 3 3" xfId="5402" xr:uid="{00000000-0005-0000-0000-00005B050000}"/>
    <cellStyle name="40% - Accent3 3 2 3 3 2" xfId="13841" xr:uid="{31C6B931-B38A-4C9D-8BD4-EB18AA4F8698}"/>
    <cellStyle name="40% - Accent3 3 2 3 4" xfId="9623" xr:uid="{D5B3FC39-B58F-409C-AADD-1E7294E4AF71}"/>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4BB0D915-F55D-424B-8BA5-DF0D687D8B0B}"/>
    <cellStyle name="40% - Accent3 3 2 4 2 3" xfId="12181" xr:uid="{573FC9DA-F371-4FDF-A384-8EDFB2058AE4}"/>
    <cellStyle name="40% - Accent3 3 2 4 3" xfId="5815" xr:uid="{00000000-0005-0000-0000-00005F050000}"/>
    <cellStyle name="40% - Accent3 3 2 4 3 2" xfId="14254" xr:uid="{013EF826-88BF-4C32-B0E0-21D6A37ACD13}"/>
    <cellStyle name="40% - Accent3 3 2 4 4" xfId="10036" xr:uid="{BF6137B6-7DC3-4C59-B019-049A5393D55E}"/>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07CBBA87-943F-48CD-95E5-CAF5ABA919D4}"/>
    <cellStyle name="40% - Accent3 3 2 5 2 3" xfId="12594" xr:uid="{D5FCE1C6-20F0-4611-AA9D-BC01A0D96B4A}"/>
    <cellStyle name="40% - Accent3 3 2 5 3" xfId="6228" xr:uid="{00000000-0005-0000-0000-000063050000}"/>
    <cellStyle name="40% - Accent3 3 2 5 3 2" xfId="14667" xr:uid="{21B4C477-EAA0-4EC7-A7BD-6CEA1EF1E038}"/>
    <cellStyle name="40% - Accent3 3 2 5 4" xfId="10449" xr:uid="{B5F76679-8886-41F5-AFCB-E45276282DC4}"/>
    <cellStyle name="40% - Accent3 3 2 6" xfId="2334" xr:uid="{00000000-0005-0000-0000-000064050000}"/>
    <cellStyle name="40% - Accent3 3 2 6 2" xfId="6641" xr:uid="{00000000-0005-0000-0000-000065050000}"/>
    <cellStyle name="40% - Accent3 3 2 6 2 2" xfId="15080" xr:uid="{1D2A6DE8-BA3A-4FFC-92E0-361F4BE70FE4}"/>
    <cellStyle name="40% - Accent3 3 2 6 3" xfId="10862" xr:uid="{191B445A-3797-40B5-B942-3EE7C741FAFD}"/>
    <cellStyle name="40% - Accent3 3 2 7" xfId="4575" xr:uid="{00000000-0005-0000-0000-000066050000}"/>
    <cellStyle name="40% - Accent3 3 2 7 2" xfId="13014" xr:uid="{EE54F6A2-31E7-4CFC-B913-431FDF72B140}"/>
    <cellStyle name="40% - Accent3 3 2 8" xfId="8796" xr:uid="{BEA6440E-9B25-41CD-B47C-042A2C49833A}"/>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F18AD091-E55F-47D2-8C4F-949EFA879C2E}"/>
    <cellStyle name="40% - Accent3 3 3 2 3" xfId="11354" xr:uid="{06088C19-0619-42F5-B6A0-48ACC2F81958}"/>
    <cellStyle name="40% - Accent3 3 3 3" xfId="4988" xr:uid="{00000000-0005-0000-0000-00006A050000}"/>
    <cellStyle name="40% - Accent3 3 3 3 2" xfId="13427" xr:uid="{32A3D92D-F32B-458F-B92E-494B42A7BC18}"/>
    <cellStyle name="40% - Accent3 3 3 4" xfId="9209" xr:uid="{8533CB03-7C3B-4D22-ABD4-591D64B74DD5}"/>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C7B901E1-7F9D-4366-BD84-18CE452659F7}"/>
    <cellStyle name="40% - Accent3 3 4 2 3" xfId="11767" xr:uid="{20F67C43-8A06-43AC-AED6-D23B875AACCF}"/>
    <cellStyle name="40% - Accent3 3 4 3" xfId="5401" xr:uid="{00000000-0005-0000-0000-00006E050000}"/>
    <cellStyle name="40% - Accent3 3 4 3 2" xfId="13840" xr:uid="{7CB050FB-E0D1-49EF-90DC-4229D63DCC00}"/>
    <cellStyle name="40% - Accent3 3 4 4" xfId="9622" xr:uid="{4E35DCE2-ABFE-4F49-B198-C6DEA8F0D107}"/>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E5B1CED4-3C71-43AF-B9BA-B35354696F9F}"/>
    <cellStyle name="40% - Accent3 3 5 2 3" xfId="12180" xr:uid="{A7ADAF93-570B-4925-9303-942CC14C9819}"/>
    <cellStyle name="40% - Accent3 3 5 3" xfId="5814" xr:uid="{00000000-0005-0000-0000-000072050000}"/>
    <cellStyle name="40% - Accent3 3 5 3 2" xfId="14253" xr:uid="{E16FDCAB-36E9-4208-9FF7-E54C2F0D48C5}"/>
    <cellStyle name="40% - Accent3 3 5 4" xfId="10035" xr:uid="{310D3AB4-C504-48CB-8EA5-A3CA1E5327C6}"/>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B5DEBA7D-369C-4715-AB5C-0831C83D0AC6}"/>
    <cellStyle name="40% - Accent3 3 6 2 3" xfId="12593" xr:uid="{EB538797-3F84-4317-BCC3-55CA397BEC1C}"/>
    <cellStyle name="40% - Accent3 3 6 3" xfId="6227" xr:uid="{00000000-0005-0000-0000-000076050000}"/>
    <cellStyle name="40% - Accent3 3 6 3 2" xfId="14666" xr:uid="{1F4B892C-EE2E-4EE2-8A7D-BD4A354E9AE9}"/>
    <cellStyle name="40% - Accent3 3 6 4" xfId="10448" xr:uid="{9F34E95D-9C9C-4D0C-9E88-7FDCEFB30A1E}"/>
    <cellStyle name="40% - Accent3 3 7" xfId="2333" xr:uid="{00000000-0005-0000-0000-000077050000}"/>
    <cellStyle name="40% - Accent3 3 7 2" xfId="6640" xr:uid="{00000000-0005-0000-0000-000078050000}"/>
    <cellStyle name="40% - Accent3 3 7 2 2" xfId="15079" xr:uid="{74B7DEEA-507A-4CE3-96F7-86AC7F911B67}"/>
    <cellStyle name="40% - Accent3 3 7 3" xfId="10861" xr:uid="{13F52BDF-682F-48F2-9CAF-B4A3C282CF91}"/>
    <cellStyle name="40% - Accent3 3 8" xfId="4574" xr:uid="{00000000-0005-0000-0000-000079050000}"/>
    <cellStyle name="40% - Accent3 3 8 2" xfId="13013" xr:uid="{530EA0DC-6210-428F-95B2-D4DB3ACE82C8}"/>
    <cellStyle name="40% - Accent3 3 9" xfId="8795" xr:uid="{1D5DF54D-9271-424C-916E-58CF4D75C596}"/>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81E447C9-E2D4-4998-A7F8-64C42DEFFCFD}"/>
    <cellStyle name="40% - Accent3 4 2 2 3" xfId="11356" xr:uid="{61AE5A7C-815D-45B8-914F-D7D67BC1019F}"/>
    <cellStyle name="40% - Accent3 4 2 3" xfId="4990" xr:uid="{00000000-0005-0000-0000-00007E050000}"/>
    <cellStyle name="40% - Accent3 4 2 3 2" xfId="13429" xr:uid="{6968BC57-CA90-49E9-8E2F-86C07093A28D}"/>
    <cellStyle name="40% - Accent3 4 2 4" xfId="9211" xr:uid="{D5B150EC-D012-4453-9618-8EE1C3A15213}"/>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598CA80C-63C9-4D4D-901B-C535BFFF339B}"/>
    <cellStyle name="40% - Accent3 4 3 2 3" xfId="11769" xr:uid="{D6AD95B1-3756-41CB-A287-2225E06D7FE5}"/>
    <cellStyle name="40% - Accent3 4 3 3" xfId="5403" xr:uid="{00000000-0005-0000-0000-000082050000}"/>
    <cellStyle name="40% - Accent3 4 3 3 2" xfId="13842" xr:uid="{3D3647BF-6B76-4305-BFA3-C640A90A9B38}"/>
    <cellStyle name="40% - Accent3 4 3 4" xfId="9624" xr:uid="{6A099F7B-B1D2-4DFD-AAAF-69781B1B5A9A}"/>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88EE1AFF-4C7A-4D06-A7F7-C6D55140E57E}"/>
    <cellStyle name="40% - Accent3 4 4 2 3" xfId="12182" xr:uid="{4F26A885-E473-45FC-975C-9D33CD560E80}"/>
    <cellStyle name="40% - Accent3 4 4 3" xfId="5816" xr:uid="{00000000-0005-0000-0000-000086050000}"/>
    <cellStyle name="40% - Accent3 4 4 3 2" xfId="14255" xr:uid="{6486B31A-29F2-47AD-8067-04E959592755}"/>
    <cellStyle name="40% - Accent3 4 4 4" xfId="10037" xr:uid="{BC4F272E-81F1-44B5-A72A-9FD6F335F5AF}"/>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AE95AB30-FC42-40B7-B625-E0480E65B2AD}"/>
    <cellStyle name="40% - Accent3 4 5 2 3" xfId="12595" xr:uid="{BF3766CE-3E03-4A22-B38D-9FF98A3C6132}"/>
    <cellStyle name="40% - Accent3 4 5 3" xfId="6229" xr:uid="{00000000-0005-0000-0000-00008A050000}"/>
    <cellStyle name="40% - Accent3 4 5 3 2" xfId="14668" xr:uid="{7ADBA51C-39AD-4896-848C-EB9C8A01AB1C}"/>
    <cellStyle name="40% - Accent3 4 5 4" xfId="10450" xr:uid="{C4B91A89-C7F5-4DBD-9D3F-32753CA6C957}"/>
    <cellStyle name="40% - Accent3 4 6" xfId="2335" xr:uid="{00000000-0005-0000-0000-00008B050000}"/>
    <cellStyle name="40% - Accent3 4 6 2" xfId="6642" xr:uid="{00000000-0005-0000-0000-00008C050000}"/>
    <cellStyle name="40% - Accent3 4 6 2 2" xfId="15081" xr:uid="{E33DCDF3-6A69-4098-A7B0-8BDDAD76F527}"/>
    <cellStyle name="40% - Accent3 4 6 3" xfId="10863" xr:uid="{7F60BACB-6AE1-41C3-9823-8222A9783868}"/>
    <cellStyle name="40% - Accent3 4 7" xfId="4576" xr:uid="{00000000-0005-0000-0000-00008D050000}"/>
    <cellStyle name="40% - Accent3 4 7 2" xfId="13015" xr:uid="{99B2CD1C-8871-400A-BAAB-9372B33040CC}"/>
    <cellStyle name="40% - Accent3 4 8" xfId="8797" xr:uid="{A339B477-62DB-4B93-A390-5E3C9396E766}"/>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7225BDA2-4142-4896-98FA-B6A6CAEBB1D3}"/>
    <cellStyle name="40% - Accent3 5 2 3" xfId="11349" xr:uid="{DE819DB5-5EFE-4539-B711-2AFFADE0C89D}"/>
    <cellStyle name="40% - Accent3 5 3" xfId="4983" xr:uid="{00000000-0005-0000-0000-000091050000}"/>
    <cellStyle name="40% - Accent3 5 3 2" xfId="13422" xr:uid="{5E20B341-F85C-4EE2-90A3-4000CB3FF9E6}"/>
    <cellStyle name="40% - Accent3 5 4" xfId="9204" xr:uid="{5203E491-F238-48B7-9415-D3DDBBEB38A2}"/>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DC809F77-8DFA-43CC-910F-F581B38C9099}"/>
    <cellStyle name="40% - Accent3 6 2 3" xfId="11762" xr:uid="{957BD175-BA4A-4C5B-9DDD-E3BBFF31A5FF}"/>
    <cellStyle name="40% - Accent3 6 3" xfId="5396" xr:uid="{00000000-0005-0000-0000-000095050000}"/>
    <cellStyle name="40% - Accent3 6 3 2" xfId="13835" xr:uid="{AC90B892-6648-4363-9273-E76B5C0553F0}"/>
    <cellStyle name="40% - Accent3 6 4" xfId="9617" xr:uid="{C9970A73-F262-46A8-99F6-94468FD9C05B}"/>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D6C5294D-D173-4A97-8F67-3F5EDF202115}"/>
    <cellStyle name="40% - Accent3 7 2 3" xfId="12175" xr:uid="{E3997C7F-6B4B-4A94-A52A-539D65270B7E}"/>
    <cellStyle name="40% - Accent3 7 3" xfId="5809" xr:uid="{00000000-0005-0000-0000-000099050000}"/>
    <cellStyle name="40% - Accent3 7 3 2" xfId="14248" xr:uid="{34E95DA1-B0DD-4F82-9A8C-1043FBDDF75A}"/>
    <cellStyle name="40% - Accent3 7 4" xfId="10030" xr:uid="{4CD3F5C6-237B-4FF5-AA11-6760B2CB10E8}"/>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00FC2885-9032-43E4-A898-9A41F51DF0F3}"/>
    <cellStyle name="40% - Accent3 8 2 3" xfId="12588" xr:uid="{FA918D76-BF90-4628-9DEA-033CD086A5EB}"/>
    <cellStyle name="40% - Accent3 8 3" xfId="6222" xr:uid="{00000000-0005-0000-0000-00009D050000}"/>
    <cellStyle name="40% - Accent3 8 3 2" xfId="14661" xr:uid="{CECBDFFC-16EC-482F-93F1-D5DF0344ADD2}"/>
    <cellStyle name="40% - Accent3 8 4" xfId="10443" xr:uid="{4D83709C-A39B-43B0-9286-843A4ACD7E27}"/>
    <cellStyle name="40% - Accent3 9" xfId="2328" xr:uid="{00000000-0005-0000-0000-00009E050000}"/>
    <cellStyle name="40% - Accent3 9 2" xfId="6635" xr:uid="{00000000-0005-0000-0000-00009F050000}"/>
    <cellStyle name="40% - Accent3 9 2 2" xfId="15074" xr:uid="{4EA414BD-3682-4C19-83A9-33FB42E21C4A}"/>
    <cellStyle name="40% - Accent3 9 3" xfId="10856" xr:uid="{3E9FEE1B-FC37-476E-90A4-A7BF116635EA}"/>
    <cellStyle name="40% - Accent4" xfId="73" builtinId="43" customBuiltin="1"/>
    <cellStyle name="40% - Accent4 10" xfId="4577" xr:uid="{00000000-0005-0000-0000-0000A1050000}"/>
    <cellStyle name="40% - Accent4 10 2" xfId="13016" xr:uid="{E456F2A6-CCBC-4CE4-9286-1D9530D254EE}"/>
    <cellStyle name="40% - Accent4 11" xfId="8798" xr:uid="{045517A3-D5F0-4F89-A4A1-D1CF1F48A29B}"/>
    <cellStyle name="40% - Accent4 2" xfId="74" xr:uid="{00000000-0005-0000-0000-0000A2050000}"/>
    <cellStyle name="40% - Accent4 2 10" xfId="8799" xr:uid="{0AEF82FB-11FA-462D-A7AC-C86A2F352ADA}"/>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DF3EBBAA-2D6A-440D-955B-F5F4A6D3390D}"/>
    <cellStyle name="40% - Accent4 2 2 2 2 2 3" xfId="11360" xr:uid="{AA4FBDE2-094B-42B5-9A91-EF5EC9456BB2}"/>
    <cellStyle name="40% - Accent4 2 2 2 2 3" xfId="4994" xr:uid="{00000000-0005-0000-0000-0000A8050000}"/>
    <cellStyle name="40% - Accent4 2 2 2 2 3 2" xfId="13433" xr:uid="{DD679F3C-2E58-4CF5-8223-2AB912F8CB18}"/>
    <cellStyle name="40% - Accent4 2 2 2 2 4" xfId="9215" xr:uid="{40AA828F-BFE3-45CD-ABDB-A0BC515B17A9}"/>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4B1A1D10-0BDB-43BB-9FAF-7398D154E4BE}"/>
    <cellStyle name="40% - Accent4 2 2 2 3 2 3" xfId="11773" xr:uid="{35FC48E5-B883-429C-8943-721446EF8062}"/>
    <cellStyle name="40% - Accent4 2 2 2 3 3" xfId="5407" xr:uid="{00000000-0005-0000-0000-0000AC050000}"/>
    <cellStyle name="40% - Accent4 2 2 2 3 3 2" xfId="13846" xr:uid="{EF41F80C-4D5F-4F87-8A84-6CCF25A131AE}"/>
    <cellStyle name="40% - Accent4 2 2 2 3 4" xfId="9628" xr:uid="{28297467-F912-4D68-B5B6-A9EB1EC1197A}"/>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A423E242-3BE6-447E-A6DB-B00D6D6CDEDF}"/>
    <cellStyle name="40% - Accent4 2 2 2 4 2 3" xfId="12186" xr:uid="{9FEF4CFF-DE8E-42A2-B083-BE7398A004D3}"/>
    <cellStyle name="40% - Accent4 2 2 2 4 3" xfId="5820" xr:uid="{00000000-0005-0000-0000-0000B0050000}"/>
    <cellStyle name="40% - Accent4 2 2 2 4 3 2" xfId="14259" xr:uid="{CB0475CA-E7FF-409A-A0A4-5BF3A852501D}"/>
    <cellStyle name="40% - Accent4 2 2 2 4 4" xfId="10041" xr:uid="{D5B83629-1F2C-4FB5-84E4-879E2E15A699}"/>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695B97CB-7FC3-404D-9555-94BFD38CF76F}"/>
    <cellStyle name="40% - Accent4 2 2 2 5 2 3" xfId="12599" xr:uid="{9D22942A-883B-4B74-9463-96A38AD59FA4}"/>
    <cellStyle name="40% - Accent4 2 2 2 5 3" xfId="6233" xr:uid="{00000000-0005-0000-0000-0000B4050000}"/>
    <cellStyle name="40% - Accent4 2 2 2 5 3 2" xfId="14672" xr:uid="{763824D0-661A-4008-95F0-5FB9CBE23957}"/>
    <cellStyle name="40% - Accent4 2 2 2 5 4" xfId="10454" xr:uid="{D9E2F1A7-F457-47A7-B232-3B8D0686F7E8}"/>
    <cellStyle name="40% - Accent4 2 2 2 6" xfId="2339" xr:uid="{00000000-0005-0000-0000-0000B5050000}"/>
    <cellStyle name="40% - Accent4 2 2 2 6 2" xfId="6646" xr:uid="{00000000-0005-0000-0000-0000B6050000}"/>
    <cellStyle name="40% - Accent4 2 2 2 6 2 2" xfId="15085" xr:uid="{55B3D68D-6843-4FF7-9F3B-AD79156BE301}"/>
    <cellStyle name="40% - Accent4 2 2 2 6 3" xfId="10867" xr:uid="{AE93F8CE-CEED-4539-8F7F-F17D12571C04}"/>
    <cellStyle name="40% - Accent4 2 2 2 7" xfId="4580" xr:uid="{00000000-0005-0000-0000-0000B7050000}"/>
    <cellStyle name="40% - Accent4 2 2 2 7 2" xfId="13019" xr:uid="{B54F28B6-F805-4739-9D88-91767EE3B18D}"/>
    <cellStyle name="40% - Accent4 2 2 2 8" xfId="8801" xr:uid="{FF9DDF12-774B-462C-A89A-770E2F57BC71}"/>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7A3D56C3-636C-4A2B-AEC8-F4B897839596}"/>
    <cellStyle name="40% - Accent4 2 2 3 2 3" xfId="11359" xr:uid="{C57DF0F8-7E36-4443-A6CE-A48C5684E060}"/>
    <cellStyle name="40% - Accent4 2 2 3 3" xfId="4993" xr:uid="{00000000-0005-0000-0000-0000BB050000}"/>
    <cellStyle name="40% - Accent4 2 2 3 3 2" xfId="13432" xr:uid="{BFADCD54-129B-469A-A17E-265AA64D5476}"/>
    <cellStyle name="40% - Accent4 2 2 3 4" xfId="9214" xr:uid="{2A580EC1-753B-4D84-90D3-C5556BA1E8D8}"/>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211AC7C2-8901-4888-B831-3CF6EAF75ECD}"/>
    <cellStyle name="40% - Accent4 2 2 4 2 3" xfId="11772" xr:uid="{6EAD00BE-3C80-4A6A-ABD8-A3FBFAF4E1CC}"/>
    <cellStyle name="40% - Accent4 2 2 4 3" xfId="5406" xr:uid="{00000000-0005-0000-0000-0000BF050000}"/>
    <cellStyle name="40% - Accent4 2 2 4 3 2" xfId="13845" xr:uid="{CCE2AB37-ECFB-4040-8FFD-3708FAFD578A}"/>
    <cellStyle name="40% - Accent4 2 2 4 4" xfId="9627" xr:uid="{897C139B-D58B-4288-BF40-948AB331A3CA}"/>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6C7E885A-104F-495D-8215-AAA588F46A4E}"/>
    <cellStyle name="40% - Accent4 2 2 5 2 3" xfId="12185" xr:uid="{902E0C41-9DDD-4445-A1E7-87D292A70B44}"/>
    <cellStyle name="40% - Accent4 2 2 5 3" xfId="5819" xr:uid="{00000000-0005-0000-0000-0000C3050000}"/>
    <cellStyle name="40% - Accent4 2 2 5 3 2" xfId="14258" xr:uid="{8378FBA0-0198-4A97-8813-B72B39FB2D6E}"/>
    <cellStyle name="40% - Accent4 2 2 5 4" xfId="10040" xr:uid="{2B6A67A7-0C3B-43F2-B12B-8237122CEE03}"/>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DA5C8AA0-03AB-45EE-AF29-F2EB3F13F7B2}"/>
    <cellStyle name="40% - Accent4 2 2 6 2 3" xfId="12598" xr:uid="{EC3E6BDF-F256-4154-8948-721EBFD29FA0}"/>
    <cellStyle name="40% - Accent4 2 2 6 3" xfId="6232" xr:uid="{00000000-0005-0000-0000-0000C7050000}"/>
    <cellStyle name="40% - Accent4 2 2 6 3 2" xfId="14671" xr:uid="{991E5300-4EA8-4D80-8952-6862E5FB4061}"/>
    <cellStyle name="40% - Accent4 2 2 6 4" xfId="10453" xr:uid="{02BF170D-C13C-488A-9478-08A09A79DAD3}"/>
    <cellStyle name="40% - Accent4 2 2 7" xfId="2338" xr:uid="{00000000-0005-0000-0000-0000C8050000}"/>
    <cellStyle name="40% - Accent4 2 2 7 2" xfId="6645" xr:uid="{00000000-0005-0000-0000-0000C9050000}"/>
    <cellStyle name="40% - Accent4 2 2 7 2 2" xfId="15084" xr:uid="{89FFBF55-A96C-4C41-9A3A-56EA61370BCF}"/>
    <cellStyle name="40% - Accent4 2 2 7 3" xfId="10866" xr:uid="{00A5954C-9A20-462F-AA28-FE1F8E1DCC57}"/>
    <cellStyle name="40% - Accent4 2 2 8" xfId="4579" xr:uid="{00000000-0005-0000-0000-0000CA050000}"/>
    <cellStyle name="40% - Accent4 2 2 8 2" xfId="13018" xr:uid="{9E00EDE1-C12B-4AE2-A236-A1CA4DEB3702}"/>
    <cellStyle name="40% - Accent4 2 2 9" xfId="8800" xr:uid="{F74310B1-3830-48A0-B3E6-89F7C3DE2DED}"/>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5DD7086E-649C-475B-86DA-48935D1D0047}"/>
    <cellStyle name="40% - Accent4 2 3 2 2 3" xfId="11361" xr:uid="{CFB88E82-9035-47FB-9DCC-DFFD8CC28A32}"/>
    <cellStyle name="40% - Accent4 2 3 2 3" xfId="4995" xr:uid="{00000000-0005-0000-0000-0000CF050000}"/>
    <cellStyle name="40% - Accent4 2 3 2 3 2" xfId="13434" xr:uid="{75C5ECD5-A8FD-4DC4-9292-664C64398CA7}"/>
    <cellStyle name="40% - Accent4 2 3 2 4" xfId="9216" xr:uid="{C7171257-E4C4-4DD7-95AE-A841E0C693F4}"/>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254D7192-A0BC-4302-AACE-457D49D85C7F}"/>
    <cellStyle name="40% - Accent4 2 3 3 2 3" xfId="11774" xr:uid="{A6E28B9B-A5BD-413D-82F7-DD7B84F8ECE0}"/>
    <cellStyle name="40% - Accent4 2 3 3 3" xfId="5408" xr:uid="{00000000-0005-0000-0000-0000D3050000}"/>
    <cellStyle name="40% - Accent4 2 3 3 3 2" xfId="13847" xr:uid="{19DF8B19-37FC-4F47-A82C-17250794FD0D}"/>
    <cellStyle name="40% - Accent4 2 3 3 4" xfId="9629" xr:uid="{AFC49D4C-6988-46AF-BCB6-B0C2946A8630}"/>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DB11B2E6-FFBD-4698-85D6-D2FA96DA35CF}"/>
    <cellStyle name="40% - Accent4 2 3 4 2 3" xfId="12187" xr:uid="{06AD3649-ADF8-422D-B2C6-46D2BEC4B5DD}"/>
    <cellStyle name="40% - Accent4 2 3 4 3" xfId="5821" xr:uid="{00000000-0005-0000-0000-0000D7050000}"/>
    <cellStyle name="40% - Accent4 2 3 4 3 2" xfId="14260" xr:uid="{E637B032-4BA4-4A33-85B6-672EF7B8FC92}"/>
    <cellStyle name="40% - Accent4 2 3 4 4" xfId="10042" xr:uid="{68AB63CF-F248-4F4A-B6C2-F8029F2DFACF}"/>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F73FBA09-BCF3-49D6-9E79-307814F5A330}"/>
    <cellStyle name="40% - Accent4 2 3 5 2 3" xfId="12600" xr:uid="{B904D083-8924-44AE-961E-BFEA6A1012C1}"/>
    <cellStyle name="40% - Accent4 2 3 5 3" xfId="6234" xr:uid="{00000000-0005-0000-0000-0000DB050000}"/>
    <cellStyle name="40% - Accent4 2 3 5 3 2" xfId="14673" xr:uid="{048B09C7-D791-44EC-9FE1-44BD8B96409B}"/>
    <cellStyle name="40% - Accent4 2 3 5 4" xfId="10455" xr:uid="{BDFBB652-CB22-4886-BDDA-DAB0F2D4A0AD}"/>
    <cellStyle name="40% - Accent4 2 3 6" xfId="2340" xr:uid="{00000000-0005-0000-0000-0000DC050000}"/>
    <cellStyle name="40% - Accent4 2 3 6 2" xfId="6647" xr:uid="{00000000-0005-0000-0000-0000DD050000}"/>
    <cellStyle name="40% - Accent4 2 3 6 2 2" xfId="15086" xr:uid="{ABD30368-3123-4C03-8620-DCFD97EAA6F5}"/>
    <cellStyle name="40% - Accent4 2 3 6 3" xfId="10868" xr:uid="{77FE743D-E43C-4235-9EC1-C6F44139B3FE}"/>
    <cellStyle name="40% - Accent4 2 3 7" xfId="4581" xr:uid="{00000000-0005-0000-0000-0000DE050000}"/>
    <cellStyle name="40% - Accent4 2 3 7 2" xfId="13020" xr:uid="{C99C91CE-AF9E-4E95-8D04-CC7750046E20}"/>
    <cellStyle name="40% - Accent4 2 3 8" xfId="8802" xr:uid="{FCCB8536-CD93-432F-9B90-55B9C4D15114}"/>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32378CAB-9DC9-45EB-89EE-3E5923E6F229}"/>
    <cellStyle name="40% - Accent4 2 4 2 3" xfId="11358" xr:uid="{01C2678C-98EF-4691-8910-9DA8A1DBFD47}"/>
    <cellStyle name="40% - Accent4 2 4 3" xfId="4992" xr:uid="{00000000-0005-0000-0000-0000E2050000}"/>
    <cellStyle name="40% - Accent4 2 4 3 2" xfId="13431" xr:uid="{A61BE3BC-63DF-4A50-B05E-56AD58C6D07E}"/>
    <cellStyle name="40% - Accent4 2 4 4" xfId="9213" xr:uid="{CDD0097B-6F11-461D-AC78-A9A3C6986CE1}"/>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AD22793C-55D4-4CED-9579-7C360DC0F7C6}"/>
    <cellStyle name="40% - Accent4 2 5 2 3" xfId="11771" xr:uid="{920A311D-FAAF-49C1-9DA7-49FC02C9D3D6}"/>
    <cellStyle name="40% - Accent4 2 5 3" xfId="5405" xr:uid="{00000000-0005-0000-0000-0000E6050000}"/>
    <cellStyle name="40% - Accent4 2 5 3 2" xfId="13844" xr:uid="{6F854886-5FB4-4887-A614-C7356F6AE57E}"/>
    <cellStyle name="40% - Accent4 2 5 4" xfId="9626" xr:uid="{1C3FDAE9-28B5-41AB-9E67-217198F442B4}"/>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58935795-A1DA-4A06-B285-29F591AEEB69}"/>
    <cellStyle name="40% - Accent4 2 6 2 3" xfId="12184" xr:uid="{BC6E7402-93BC-47EE-B977-CE65303DEC59}"/>
    <cellStyle name="40% - Accent4 2 6 3" xfId="5818" xr:uid="{00000000-0005-0000-0000-0000EA050000}"/>
    <cellStyle name="40% - Accent4 2 6 3 2" xfId="14257" xr:uid="{2CA21BD2-E26E-4B01-B863-FE3AB3950877}"/>
    <cellStyle name="40% - Accent4 2 6 4" xfId="10039" xr:uid="{59799A15-110C-4BF9-92F1-AD17213ECE8F}"/>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9185E9A7-1F97-4F35-B6B4-5A06F047552F}"/>
    <cellStyle name="40% - Accent4 2 7 2 3" xfId="12597" xr:uid="{65191160-52F1-4314-B814-04193E264BF8}"/>
    <cellStyle name="40% - Accent4 2 7 3" xfId="6231" xr:uid="{00000000-0005-0000-0000-0000EE050000}"/>
    <cellStyle name="40% - Accent4 2 7 3 2" xfId="14670" xr:uid="{ACD31DB3-F965-482F-9973-E1C7B1FC9919}"/>
    <cellStyle name="40% - Accent4 2 7 4" xfId="10452" xr:uid="{982F3358-ADAC-478C-8937-410A9F5B7F0A}"/>
    <cellStyle name="40% - Accent4 2 8" xfId="2337" xr:uid="{00000000-0005-0000-0000-0000EF050000}"/>
    <cellStyle name="40% - Accent4 2 8 2" xfId="6644" xr:uid="{00000000-0005-0000-0000-0000F0050000}"/>
    <cellStyle name="40% - Accent4 2 8 2 2" xfId="15083" xr:uid="{2D56727B-F4FB-4F6B-89AF-2ABD587153FA}"/>
    <cellStyle name="40% - Accent4 2 8 3" xfId="10865" xr:uid="{06897B8D-5EDD-4080-BC77-3233CD45D613}"/>
    <cellStyle name="40% - Accent4 2 9" xfId="4578" xr:uid="{00000000-0005-0000-0000-0000F1050000}"/>
    <cellStyle name="40% - Accent4 2 9 2" xfId="13017" xr:uid="{92698FDD-FCCA-4B98-8E23-6D1588B1DEE4}"/>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AFC4291C-E360-4B69-B2B3-43579F70BDB9}"/>
    <cellStyle name="40% - Accent4 3 2 2 2 3" xfId="11363" xr:uid="{72E6BF77-77F9-4EE8-9674-6EAE4056C349}"/>
    <cellStyle name="40% - Accent4 3 2 2 3" xfId="4997" xr:uid="{00000000-0005-0000-0000-0000F7050000}"/>
    <cellStyle name="40% - Accent4 3 2 2 3 2" xfId="13436" xr:uid="{97FA90F4-D821-487C-B5A7-141E01132C92}"/>
    <cellStyle name="40% - Accent4 3 2 2 4" xfId="9218" xr:uid="{0635965C-0E0A-46B0-B8BB-ECC3A55A4733}"/>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DA89B656-C471-423A-8382-72C32E4F8468}"/>
    <cellStyle name="40% - Accent4 3 2 3 2 3" xfId="11776" xr:uid="{FEBFFA00-A273-43E0-BA10-60858D5C5850}"/>
    <cellStyle name="40% - Accent4 3 2 3 3" xfId="5410" xr:uid="{00000000-0005-0000-0000-0000FB050000}"/>
    <cellStyle name="40% - Accent4 3 2 3 3 2" xfId="13849" xr:uid="{F728086F-5A0B-486C-B7BC-FA6D601B59E5}"/>
    <cellStyle name="40% - Accent4 3 2 3 4" xfId="9631" xr:uid="{0E4A60E0-BBEE-4EC2-A085-494CF22AC042}"/>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BCA6F046-DA3C-42FF-BDF1-05C5153544DF}"/>
    <cellStyle name="40% - Accent4 3 2 4 2 3" xfId="12189" xr:uid="{D094B843-EB79-414C-A489-E9312C556E56}"/>
    <cellStyle name="40% - Accent4 3 2 4 3" xfId="5823" xr:uid="{00000000-0005-0000-0000-0000FF050000}"/>
    <cellStyle name="40% - Accent4 3 2 4 3 2" xfId="14262" xr:uid="{1B526E30-F498-433E-946E-0E8CA71EC720}"/>
    <cellStyle name="40% - Accent4 3 2 4 4" xfId="10044" xr:uid="{2FE0A5F9-A76F-4E88-BF09-F03CDE30535B}"/>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6A9F05F8-E45C-42AF-B0D7-1B3C7E008C4C}"/>
    <cellStyle name="40% - Accent4 3 2 5 2 3" xfId="12602" xr:uid="{3FCD0450-2720-4B06-8BBB-E16E435BFBAB}"/>
    <cellStyle name="40% - Accent4 3 2 5 3" xfId="6236" xr:uid="{00000000-0005-0000-0000-000003060000}"/>
    <cellStyle name="40% - Accent4 3 2 5 3 2" xfId="14675" xr:uid="{0E0BFB3C-D168-48E3-A9E4-2EE15644265A}"/>
    <cellStyle name="40% - Accent4 3 2 5 4" xfId="10457" xr:uid="{D8418415-8071-4762-B38A-9BDDFD35F8C9}"/>
    <cellStyle name="40% - Accent4 3 2 6" xfId="2342" xr:uid="{00000000-0005-0000-0000-000004060000}"/>
    <cellStyle name="40% - Accent4 3 2 6 2" xfId="6649" xr:uid="{00000000-0005-0000-0000-000005060000}"/>
    <cellStyle name="40% - Accent4 3 2 6 2 2" xfId="15088" xr:uid="{6DE184BC-77E9-43B7-B312-91FD09EBB14E}"/>
    <cellStyle name="40% - Accent4 3 2 6 3" xfId="10870" xr:uid="{9E0C6F06-F493-4261-81B0-124E760CE456}"/>
    <cellStyle name="40% - Accent4 3 2 7" xfId="4583" xr:uid="{00000000-0005-0000-0000-000006060000}"/>
    <cellStyle name="40% - Accent4 3 2 7 2" xfId="13022" xr:uid="{DA7CAF7F-71B5-4053-BB75-6383A47280DF}"/>
    <cellStyle name="40% - Accent4 3 2 8" xfId="8804" xr:uid="{5E350989-C744-4DE8-8E93-01A2422BFC9A}"/>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48B66EDD-0D64-4736-8E8C-B5E6E668372B}"/>
    <cellStyle name="40% - Accent4 3 3 2 3" xfId="11362" xr:uid="{A8EAC0C4-BF56-4C2A-947A-B98CD0247734}"/>
    <cellStyle name="40% - Accent4 3 3 3" xfId="4996" xr:uid="{00000000-0005-0000-0000-00000A060000}"/>
    <cellStyle name="40% - Accent4 3 3 3 2" xfId="13435" xr:uid="{0897E074-CA36-40B4-A3A5-AC472E10F321}"/>
    <cellStyle name="40% - Accent4 3 3 4" xfId="9217" xr:uid="{40EC3518-4AB4-4AF3-9071-75036C8F679E}"/>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B88B8265-7311-47DD-B40D-19B396C0E0D6}"/>
    <cellStyle name="40% - Accent4 3 4 2 3" xfId="11775" xr:uid="{1827A37F-9D6B-4A7F-8170-BABB6062E70A}"/>
    <cellStyle name="40% - Accent4 3 4 3" xfId="5409" xr:uid="{00000000-0005-0000-0000-00000E060000}"/>
    <cellStyle name="40% - Accent4 3 4 3 2" xfId="13848" xr:uid="{EC43F4EA-9D54-460B-895B-D6E44F896FDB}"/>
    <cellStyle name="40% - Accent4 3 4 4" xfId="9630" xr:uid="{D511B78D-A8A2-4C59-9031-6B9C7BE4AF13}"/>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EE58AD29-FE57-4F04-B9E0-BA078DF77549}"/>
    <cellStyle name="40% - Accent4 3 5 2 3" xfId="12188" xr:uid="{8575D285-1487-450C-9B98-CAA26F774601}"/>
    <cellStyle name="40% - Accent4 3 5 3" xfId="5822" xr:uid="{00000000-0005-0000-0000-000012060000}"/>
    <cellStyle name="40% - Accent4 3 5 3 2" xfId="14261" xr:uid="{AB40C5E0-D6B0-4CEA-B103-9B506D88A5D9}"/>
    <cellStyle name="40% - Accent4 3 5 4" xfId="10043" xr:uid="{B2ECEFCD-3CD4-421E-9109-A5FC24D00525}"/>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57A2CE83-16A7-4282-9AF1-CCB408F9BB50}"/>
    <cellStyle name="40% - Accent4 3 6 2 3" xfId="12601" xr:uid="{A666DF81-CBF9-4855-BCED-44043B4F2F62}"/>
    <cellStyle name="40% - Accent4 3 6 3" xfId="6235" xr:uid="{00000000-0005-0000-0000-000016060000}"/>
    <cellStyle name="40% - Accent4 3 6 3 2" xfId="14674" xr:uid="{0B0677F1-34AB-42E1-8459-AB3D969085C9}"/>
    <cellStyle name="40% - Accent4 3 6 4" xfId="10456" xr:uid="{99C44523-9638-464B-B916-38772CB64D2F}"/>
    <cellStyle name="40% - Accent4 3 7" xfId="2341" xr:uid="{00000000-0005-0000-0000-000017060000}"/>
    <cellStyle name="40% - Accent4 3 7 2" xfId="6648" xr:uid="{00000000-0005-0000-0000-000018060000}"/>
    <cellStyle name="40% - Accent4 3 7 2 2" xfId="15087" xr:uid="{C362399B-E7C6-45A5-8896-5D081878D727}"/>
    <cellStyle name="40% - Accent4 3 7 3" xfId="10869" xr:uid="{65F4E9D7-773D-4EBE-8FB4-C6A29316F8A0}"/>
    <cellStyle name="40% - Accent4 3 8" xfId="4582" xr:uid="{00000000-0005-0000-0000-000019060000}"/>
    <cellStyle name="40% - Accent4 3 8 2" xfId="13021" xr:uid="{901278B7-EB79-4DB2-8C10-E0F656CA49B1}"/>
    <cellStyle name="40% - Accent4 3 9" xfId="8803" xr:uid="{8419CFF8-73B3-48C3-B754-DADE95CFE1E3}"/>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91E6E236-88AA-41B8-8DA5-C7F33B476B9A}"/>
    <cellStyle name="40% - Accent4 4 2 2 3" xfId="11364" xr:uid="{B1FE3DDA-0A6A-4FC9-9363-1CA762FC7E61}"/>
    <cellStyle name="40% - Accent4 4 2 3" xfId="4998" xr:uid="{00000000-0005-0000-0000-00001E060000}"/>
    <cellStyle name="40% - Accent4 4 2 3 2" xfId="13437" xr:uid="{10020B96-6E9D-4A0F-91CB-DD7B0B838641}"/>
    <cellStyle name="40% - Accent4 4 2 4" xfId="9219" xr:uid="{826FB7C7-C635-49EC-8450-56204DAE1DD9}"/>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827B7DB8-1212-4737-9774-FE3A70A7490E}"/>
    <cellStyle name="40% - Accent4 4 3 2 3" xfId="11777" xr:uid="{FFC1B1B9-7039-45B2-9F7D-79C752964A76}"/>
    <cellStyle name="40% - Accent4 4 3 3" xfId="5411" xr:uid="{00000000-0005-0000-0000-000022060000}"/>
    <cellStyle name="40% - Accent4 4 3 3 2" xfId="13850" xr:uid="{2BF05E6F-D7B7-4695-B580-52E26A013A06}"/>
    <cellStyle name="40% - Accent4 4 3 4" xfId="9632" xr:uid="{DEC62F7C-86CD-4DFE-86D2-BAC99E636212}"/>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6A164923-9FD8-46D3-82C4-7E47F61BE044}"/>
    <cellStyle name="40% - Accent4 4 4 2 3" xfId="12190" xr:uid="{BBD6D957-51E0-41B2-819F-9DDC09495AF3}"/>
    <cellStyle name="40% - Accent4 4 4 3" xfId="5824" xr:uid="{00000000-0005-0000-0000-000026060000}"/>
    <cellStyle name="40% - Accent4 4 4 3 2" xfId="14263" xr:uid="{EAB35DAB-7FA5-4489-A831-B3F7F4A0CF19}"/>
    <cellStyle name="40% - Accent4 4 4 4" xfId="10045" xr:uid="{3F8E4A69-615B-4695-95AD-D397C4395BBE}"/>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A4928186-C375-41CD-9204-35AD554F634D}"/>
    <cellStyle name="40% - Accent4 4 5 2 3" xfId="12603" xr:uid="{88C9AEF7-DB24-458F-B96A-0212C288A55F}"/>
    <cellStyle name="40% - Accent4 4 5 3" xfId="6237" xr:uid="{00000000-0005-0000-0000-00002A060000}"/>
    <cellStyle name="40% - Accent4 4 5 3 2" xfId="14676" xr:uid="{C8D8B439-D132-4598-8EE9-845D4FAF746C}"/>
    <cellStyle name="40% - Accent4 4 5 4" xfId="10458" xr:uid="{9C89ED7C-8E37-4E28-8DD1-6B8AFFFD3EC0}"/>
    <cellStyle name="40% - Accent4 4 6" xfId="2343" xr:uid="{00000000-0005-0000-0000-00002B060000}"/>
    <cellStyle name="40% - Accent4 4 6 2" xfId="6650" xr:uid="{00000000-0005-0000-0000-00002C060000}"/>
    <cellStyle name="40% - Accent4 4 6 2 2" xfId="15089" xr:uid="{D06EFD18-DD27-4EE6-BD94-E45072B662B3}"/>
    <cellStyle name="40% - Accent4 4 6 3" xfId="10871" xr:uid="{93DA2AE5-7055-461C-B7E4-2D17C2A1F8CC}"/>
    <cellStyle name="40% - Accent4 4 7" xfId="4584" xr:uid="{00000000-0005-0000-0000-00002D060000}"/>
    <cellStyle name="40% - Accent4 4 7 2" xfId="13023" xr:uid="{96FC9255-F48F-4E01-9A21-375E69190F13}"/>
    <cellStyle name="40% - Accent4 4 8" xfId="8805" xr:uid="{F37191E0-5095-4D37-9BAF-FB01D1DE1313}"/>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1DEBC003-3D26-4D3A-A401-6FFC22508E72}"/>
    <cellStyle name="40% - Accent4 5 2 3" xfId="11357" xr:uid="{6C0C008D-B5CC-460E-992B-09E3DDF77881}"/>
    <cellStyle name="40% - Accent4 5 3" xfId="4991" xr:uid="{00000000-0005-0000-0000-000031060000}"/>
    <cellStyle name="40% - Accent4 5 3 2" xfId="13430" xr:uid="{856B83AA-AA63-4FE3-8229-C9657D13E558}"/>
    <cellStyle name="40% - Accent4 5 4" xfId="9212" xr:uid="{4A760C2B-22A5-4173-879A-D64E47EE24EC}"/>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44137D98-27A6-48A3-A5AC-05B56EC2B850}"/>
    <cellStyle name="40% - Accent4 6 2 3" xfId="11770" xr:uid="{14AEEF55-3EC6-43F0-9A48-22453AD9BD2B}"/>
    <cellStyle name="40% - Accent4 6 3" xfId="5404" xr:uid="{00000000-0005-0000-0000-000035060000}"/>
    <cellStyle name="40% - Accent4 6 3 2" xfId="13843" xr:uid="{182F2E5D-727F-474B-837F-1856E0587B1D}"/>
    <cellStyle name="40% - Accent4 6 4" xfId="9625" xr:uid="{4693785F-A9DC-44BF-A675-88AB2031C513}"/>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2CD3BF32-74B9-4312-9538-4ED00CD3D392}"/>
    <cellStyle name="40% - Accent4 7 2 3" xfId="12183" xr:uid="{81AA18D1-E4EB-4D82-A760-B9B0A835F105}"/>
    <cellStyle name="40% - Accent4 7 3" xfId="5817" xr:uid="{00000000-0005-0000-0000-000039060000}"/>
    <cellStyle name="40% - Accent4 7 3 2" xfId="14256" xr:uid="{EFEE8E37-2D36-407E-A400-C597F4FE410F}"/>
    <cellStyle name="40% - Accent4 7 4" xfId="10038" xr:uid="{16F46134-3481-47E4-91EB-980408270A43}"/>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8BD586AB-503C-41FF-B990-371443FC08C7}"/>
    <cellStyle name="40% - Accent4 8 2 3" xfId="12596" xr:uid="{787F7398-5AF4-4300-82F4-3C40C02B1947}"/>
    <cellStyle name="40% - Accent4 8 3" xfId="6230" xr:uid="{00000000-0005-0000-0000-00003D060000}"/>
    <cellStyle name="40% - Accent4 8 3 2" xfId="14669" xr:uid="{34A9675B-5EA5-4C26-BC68-8A05717442F1}"/>
    <cellStyle name="40% - Accent4 8 4" xfId="10451" xr:uid="{22A35B50-A33E-461D-B54D-A1A2573E4767}"/>
    <cellStyle name="40% - Accent4 9" xfId="2336" xr:uid="{00000000-0005-0000-0000-00003E060000}"/>
    <cellStyle name="40% - Accent4 9 2" xfId="6643" xr:uid="{00000000-0005-0000-0000-00003F060000}"/>
    <cellStyle name="40% - Accent4 9 2 2" xfId="15082" xr:uid="{132E241E-C0C4-43ED-BE48-9DCFAC09D32F}"/>
    <cellStyle name="40% - Accent4 9 3" xfId="10864" xr:uid="{816A5409-4681-4DED-9533-C0B18B098670}"/>
    <cellStyle name="40% - Accent5" xfId="81" builtinId="47" customBuiltin="1"/>
    <cellStyle name="40% - Accent5 10" xfId="4585" xr:uid="{00000000-0005-0000-0000-000041060000}"/>
    <cellStyle name="40% - Accent5 10 2" xfId="13024" xr:uid="{216A3C7B-7877-49A7-B4F0-2D7A66C23424}"/>
    <cellStyle name="40% - Accent5 11" xfId="8806" xr:uid="{B2FBDF19-7110-4CA5-AB16-D273309614DD}"/>
    <cellStyle name="40% - Accent5 2" xfId="82" xr:uid="{00000000-0005-0000-0000-000042060000}"/>
    <cellStyle name="40% - Accent5 2 10" xfId="8807" xr:uid="{FB9110DF-5697-49F5-9540-80D5B7CE85E5}"/>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B1DD8643-D163-45C3-B699-DD9780F646B1}"/>
    <cellStyle name="40% - Accent5 2 2 2 2 2 3" xfId="11368" xr:uid="{DE665F7E-5CB0-4BC0-B899-56E8297252AF}"/>
    <cellStyle name="40% - Accent5 2 2 2 2 3" xfId="5002" xr:uid="{00000000-0005-0000-0000-000048060000}"/>
    <cellStyle name="40% - Accent5 2 2 2 2 3 2" xfId="13441" xr:uid="{F7C0B6B9-B767-472F-A66A-D5AA63570329}"/>
    <cellStyle name="40% - Accent5 2 2 2 2 4" xfId="9223" xr:uid="{04EA1559-8793-4C4A-8730-FB17C360E73B}"/>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45586146-BE76-4613-BCEA-4FD3E31AA55B}"/>
    <cellStyle name="40% - Accent5 2 2 2 3 2 3" xfId="11781" xr:uid="{E0590EDE-C5D8-4E8F-950D-04FE93E79F85}"/>
    <cellStyle name="40% - Accent5 2 2 2 3 3" xfId="5415" xr:uid="{00000000-0005-0000-0000-00004C060000}"/>
    <cellStyle name="40% - Accent5 2 2 2 3 3 2" xfId="13854" xr:uid="{DF7E3390-CA9C-4471-BD5E-E74F19811BBC}"/>
    <cellStyle name="40% - Accent5 2 2 2 3 4" xfId="9636" xr:uid="{AFA75B79-6CDC-4CAF-8C12-7E03F68DAB16}"/>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5D8C439F-15EB-4203-847D-1F5D8AE6E2C0}"/>
    <cellStyle name="40% - Accent5 2 2 2 4 2 3" xfId="12194" xr:uid="{654944B5-F215-4C39-889A-460C60D145B0}"/>
    <cellStyle name="40% - Accent5 2 2 2 4 3" xfId="5828" xr:uid="{00000000-0005-0000-0000-000050060000}"/>
    <cellStyle name="40% - Accent5 2 2 2 4 3 2" xfId="14267" xr:uid="{14337386-B1DD-4AA3-9B9B-E02706E6D786}"/>
    <cellStyle name="40% - Accent5 2 2 2 4 4" xfId="10049" xr:uid="{E261B050-3691-41E4-892D-A68F03E1095E}"/>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0C5B2076-5580-48FF-B863-B4D2F82549F0}"/>
    <cellStyle name="40% - Accent5 2 2 2 5 2 3" xfId="12607" xr:uid="{01159E82-D867-42F8-A610-DF9545A67BC0}"/>
    <cellStyle name="40% - Accent5 2 2 2 5 3" xfId="6241" xr:uid="{00000000-0005-0000-0000-000054060000}"/>
    <cellStyle name="40% - Accent5 2 2 2 5 3 2" xfId="14680" xr:uid="{457B2EF0-3496-46CA-929C-36D09E8194B0}"/>
    <cellStyle name="40% - Accent5 2 2 2 5 4" xfId="10462" xr:uid="{F26C3681-C482-4B7F-B168-CC8B757CE4B0}"/>
    <cellStyle name="40% - Accent5 2 2 2 6" xfId="2347" xr:uid="{00000000-0005-0000-0000-000055060000}"/>
    <cellStyle name="40% - Accent5 2 2 2 6 2" xfId="6654" xr:uid="{00000000-0005-0000-0000-000056060000}"/>
    <cellStyle name="40% - Accent5 2 2 2 6 2 2" xfId="15093" xr:uid="{9183176F-1047-4E65-ACDB-9205A43403BF}"/>
    <cellStyle name="40% - Accent5 2 2 2 6 3" xfId="10875" xr:uid="{8FCA8925-C091-40A8-B918-962F4B7C8EA8}"/>
    <cellStyle name="40% - Accent5 2 2 2 7" xfId="4588" xr:uid="{00000000-0005-0000-0000-000057060000}"/>
    <cellStyle name="40% - Accent5 2 2 2 7 2" xfId="13027" xr:uid="{51EBC0DE-5540-4144-8F76-7A48B4555469}"/>
    <cellStyle name="40% - Accent5 2 2 2 8" xfId="8809" xr:uid="{9A330128-4C1E-49CD-A232-7CC638780FFD}"/>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60F43D8C-C2B4-4A08-B90A-E81C7DEE54D7}"/>
    <cellStyle name="40% - Accent5 2 2 3 2 3" xfId="11367" xr:uid="{012AB505-0FB7-4F2F-925E-AE235AD4F284}"/>
    <cellStyle name="40% - Accent5 2 2 3 3" xfId="5001" xr:uid="{00000000-0005-0000-0000-00005B060000}"/>
    <cellStyle name="40% - Accent5 2 2 3 3 2" xfId="13440" xr:uid="{A7D9E166-D22C-4E6A-BB4C-DDC94C2974EA}"/>
    <cellStyle name="40% - Accent5 2 2 3 4" xfId="9222" xr:uid="{7177A336-2C9C-4BEB-A1D9-CF59A8E14B32}"/>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A7D41469-45C1-42A2-A70F-15F974189CE7}"/>
    <cellStyle name="40% - Accent5 2 2 4 2 3" xfId="11780" xr:uid="{4A5406AB-7AEA-4086-8BFE-CDD62310BCA4}"/>
    <cellStyle name="40% - Accent5 2 2 4 3" xfId="5414" xr:uid="{00000000-0005-0000-0000-00005F060000}"/>
    <cellStyle name="40% - Accent5 2 2 4 3 2" xfId="13853" xr:uid="{16659148-36FB-4381-BE0C-E11D081A2508}"/>
    <cellStyle name="40% - Accent5 2 2 4 4" xfId="9635" xr:uid="{689BD8EC-A84A-42D0-A272-DCC7E4880625}"/>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808687A0-F2A3-4A00-B88C-3664B11CF1FF}"/>
    <cellStyle name="40% - Accent5 2 2 5 2 3" xfId="12193" xr:uid="{BCE13F1C-7842-46FE-964A-725AF3B297DC}"/>
    <cellStyle name="40% - Accent5 2 2 5 3" xfId="5827" xr:uid="{00000000-0005-0000-0000-000063060000}"/>
    <cellStyle name="40% - Accent5 2 2 5 3 2" xfId="14266" xr:uid="{7311FB0F-591D-4D24-8062-3A128F95C153}"/>
    <cellStyle name="40% - Accent5 2 2 5 4" xfId="10048" xr:uid="{0A28D8A3-A24C-4A22-B3D6-607C22ED935D}"/>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AB091E26-32EB-4F85-954D-9A6DE9694F5C}"/>
    <cellStyle name="40% - Accent5 2 2 6 2 3" xfId="12606" xr:uid="{435DE626-35EC-4731-8BD1-324B544DDBCF}"/>
    <cellStyle name="40% - Accent5 2 2 6 3" xfId="6240" xr:uid="{00000000-0005-0000-0000-000067060000}"/>
    <cellStyle name="40% - Accent5 2 2 6 3 2" xfId="14679" xr:uid="{DA165989-0131-43F8-BB67-BAAEF2AF0C13}"/>
    <cellStyle name="40% - Accent5 2 2 6 4" xfId="10461" xr:uid="{7832A501-61B1-4C72-91C9-4B41D01693A5}"/>
    <cellStyle name="40% - Accent5 2 2 7" xfId="2346" xr:uid="{00000000-0005-0000-0000-000068060000}"/>
    <cellStyle name="40% - Accent5 2 2 7 2" xfId="6653" xr:uid="{00000000-0005-0000-0000-000069060000}"/>
    <cellStyle name="40% - Accent5 2 2 7 2 2" xfId="15092" xr:uid="{B38F3704-D191-43D9-964A-9D2748849B12}"/>
    <cellStyle name="40% - Accent5 2 2 7 3" xfId="10874" xr:uid="{9E66F785-030E-4672-B1C2-23C52A723FF4}"/>
    <cellStyle name="40% - Accent5 2 2 8" xfId="4587" xr:uid="{00000000-0005-0000-0000-00006A060000}"/>
    <cellStyle name="40% - Accent5 2 2 8 2" xfId="13026" xr:uid="{E19E570B-727C-4E1E-90F2-BD8B7A38E4F8}"/>
    <cellStyle name="40% - Accent5 2 2 9" xfId="8808" xr:uid="{E208E61E-5E61-4BAF-8F48-7C42E2B105BB}"/>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FD4D9222-3D71-4FF2-A61F-F4DC7714670A}"/>
    <cellStyle name="40% - Accent5 2 3 2 2 3" xfId="11369" xr:uid="{F20E1927-DFB4-4DBD-9C40-BA3CA480C3B0}"/>
    <cellStyle name="40% - Accent5 2 3 2 3" xfId="5003" xr:uid="{00000000-0005-0000-0000-00006F060000}"/>
    <cellStyle name="40% - Accent5 2 3 2 3 2" xfId="13442" xr:uid="{1AED1B1F-00A1-4C18-939E-AF2BB4FFD5E2}"/>
    <cellStyle name="40% - Accent5 2 3 2 4" xfId="9224" xr:uid="{3338CC24-7E57-4B59-A093-FAF2BD4218DB}"/>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D3AB7276-119C-4B3D-B3C9-B1E47D6BB4D5}"/>
    <cellStyle name="40% - Accent5 2 3 3 2 3" xfId="11782" xr:uid="{3229938D-2BF5-4DA7-8A08-33E55EF3CD2B}"/>
    <cellStyle name="40% - Accent5 2 3 3 3" xfId="5416" xr:uid="{00000000-0005-0000-0000-000073060000}"/>
    <cellStyle name="40% - Accent5 2 3 3 3 2" xfId="13855" xr:uid="{74F544D4-D0F6-4F33-B553-FF73EDBEEC6F}"/>
    <cellStyle name="40% - Accent5 2 3 3 4" xfId="9637" xr:uid="{721E22C9-0E59-4F7D-B94E-4BCB6A97F1AF}"/>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54EA2205-22C7-4B3F-BDBE-5DA49A92B6ED}"/>
    <cellStyle name="40% - Accent5 2 3 4 2 3" xfId="12195" xr:uid="{A7ADBFBA-FBA8-4594-9EF9-62C0A46D5184}"/>
    <cellStyle name="40% - Accent5 2 3 4 3" xfId="5829" xr:uid="{00000000-0005-0000-0000-000077060000}"/>
    <cellStyle name="40% - Accent5 2 3 4 3 2" xfId="14268" xr:uid="{FBFD225A-469D-4994-8881-2AD7010E2A82}"/>
    <cellStyle name="40% - Accent5 2 3 4 4" xfId="10050" xr:uid="{4893A75D-19B3-4F5C-AF76-4D8A3DF158FB}"/>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3C6BC0CA-DE90-4CC7-9A90-82DCEE554B02}"/>
    <cellStyle name="40% - Accent5 2 3 5 2 3" xfId="12608" xr:uid="{06E27426-411B-40BC-AC8F-EEAEBC292D87}"/>
    <cellStyle name="40% - Accent5 2 3 5 3" xfId="6242" xr:uid="{00000000-0005-0000-0000-00007B060000}"/>
    <cellStyle name="40% - Accent5 2 3 5 3 2" xfId="14681" xr:uid="{FD899CFA-0563-4887-A53E-35A1C2AFD6C3}"/>
    <cellStyle name="40% - Accent5 2 3 5 4" xfId="10463" xr:uid="{92F843D0-67F2-4A30-834C-98CCC272C807}"/>
    <cellStyle name="40% - Accent5 2 3 6" xfId="2348" xr:uid="{00000000-0005-0000-0000-00007C060000}"/>
    <cellStyle name="40% - Accent5 2 3 6 2" xfId="6655" xr:uid="{00000000-0005-0000-0000-00007D060000}"/>
    <cellStyle name="40% - Accent5 2 3 6 2 2" xfId="15094" xr:uid="{A1751E8E-FB86-42E7-87C0-C8EA36E0AE0C}"/>
    <cellStyle name="40% - Accent5 2 3 6 3" xfId="10876" xr:uid="{4339FF4A-4678-4DA4-8FFD-3BB5A6F014FE}"/>
    <cellStyle name="40% - Accent5 2 3 7" xfId="4589" xr:uid="{00000000-0005-0000-0000-00007E060000}"/>
    <cellStyle name="40% - Accent5 2 3 7 2" xfId="13028" xr:uid="{141DFE07-49C5-4E01-8AD3-2F80293F61A0}"/>
    <cellStyle name="40% - Accent5 2 3 8" xfId="8810" xr:uid="{0AC83655-E237-4DA4-A513-7C444175BCFB}"/>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7A1C895E-7CBE-4351-A597-DC3714C96166}"/>
    <cellStyle name="40% - Accent5 2 4 2 3" xfId="11366" xr:uid="{8F01AE7C-44B1-438C-8FDA-E7C5F76D9250}"/>
    <cellStyle name="40% - Accent5 2 4 3" xfId="5000" xr:uid="{00000000-0005-0000-0000-000082060000}"/>
    <cellStyle name="40% - Accent5 2 4 3 2" xfId="13439" xr:uid="{56E4119D-A568-4803-91E2-E72F0C0EB4D0}"/>
    <cellStyle name="40% - Accent5 2 4 4" xfId="9221" xr:uid="{8028A373-285F-4481-9BE4-ABBAFA2E9E1D}"/>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51FE7744-CD12-40C4-8716-BED9E3B2C1C6}"/>
    <cellStyle name="40% - Accent5 2 5 2 3" xfId="11779" xr:uid="{7BFA1679-ED07-4981-B836-534DB45D9E8B}"/>
    <cellStyle name="40% - Accent5 2 5 3" xfId="5413" xr:uid="{00000000-0005-0000-0000-000086060000}"/>
    <cellStyle name="40% - Accent5 2 5 3 2" xfId="13852" xr:uid="{2F99D9BC-730B-4A9D-8861-3AD4DDD88D85}"/>
    <cellStyle name="40% - Accent5 2 5 4" xfId="9634" xr:uid="{EE76FAFE-4E0E-4E07-9486-85C8DB7077F9}"/>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98E8A848-02F4-4728-BB70-16319DA1350B}"/>
    <cellStyle name="40% - Accent5 2 6 2 3" xfId="12192" xr:uid="{F4C7BD95-26D7-4739-8185-252BF2B2D019}"/>
    <cellStyle name="40% - Accent5 2 6 3" xfId="5826" xr:uid="{00000000-0005-0000-0000-00008A060000}"/>
    <cellStyle name="40% - Accent5 2 6 3 2" xfId="14265" xr:uid="{30BAEF38-2EFF-4885-931A-7E146243DCD7}"/>
    <cellStyle name="40% - Accent5 2 6 4" xfId="10047" xr:uid="{066F59D6-ED09-4B7D-9E37-6276BDD5A5EF}"/>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00809AD9-6353-42F8-B825-DAFB2C045981}"/>
    <cellStyle name="40% - Accent5 2 7 2 3" xfId="12605" xr:uid="{88CDA4DB-57A6-4357-A5E2-E00227E218A9}"/>
    <cellStyle name="40% - Accent5 2 7 3" xfId="6239" xr:uid="{00000000-0005-0000-0000-00008E060000}"/>
    <cellStyle name="40% - Accent5 2 7 3 2" xfId="14678" xr:uid="{5A1E0C9E-72B5-457D-A0D6-235AE294A2E2}"/>
    <cellStyle name="40% - Accent5 2 7 4" xfId="10460" xr:uid="{4F53CE19-E530-43D6-B17D-127A2B152DB2}"/>
    <cellStyle name="40% - Accent5 2 8" xfId="2345" xr:uid="{00000000-0005-0000-0000-00008F060000}"/>
    <cellStyle name="40% - Accent5 2 8 2" xfId="6652" xr:uid="{00000000-0005-0000-0000-000090060000}"/>
    <cellStyle name="40% - Accent5 2 8 2 2" xfId="15091" xr:uid="{A7CDBD1B-3B9C-4598-AFD0-F019A31D446D}"/>
    <cellStyle name="40% - Accent5 2 8 3" xfId="10873" xr:uid="{0AB2CACD-94B3-4BAF-9E88-7AED39C0C598}"/>
    <cellStyle name="40% - Accent5 2 9" xfId="4586" xr:uid="{00000000-0005-0000-0000-000091060000}"/>
    <cellStyle name="40% - Accent5 2 9 2" xfId="13025" xr:uid="{1A6091F8-99ED-4F1F-9C40-8F5B01D7BE1C}"/>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5B0093A9-B9AB-4E9E-B656-9E186A471E9A}"/>
    <cellStyle name="40% - Accent5 3 2 2 2 3" xfId="11371" xr:uid="{F7FB918D-827C-44BE-964D-63968D00F735}"/>
    <cellStyle name="40% - Accent5 3 2 2 3" xfId="5005" xr:uid="{00000000-0005-0000-0000-000097060000}"/>
    <cellStyle name="40% - Accent5 3 2 2 3 2" xfId="13444" xr:uid="{E6FB24F6-2592-4590-9260-C25013E9FAA0}"/>
    <cellStyle name="40% - Accent5 3 2 2 4" xfId="9226" xr:uid="{163F89A4-3E61-4EDB-AE5A-1E5C60615EB3}"/>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9A63CB2F-D28D-46E2-B6E2-A65B47953C48}"/>
    <cellStyle name="40% - Accent5 3 2 3 2 3" xfId="11784" xr:uid="{A4D2CE55-D38A-44C2-ABA8-188E2F9B19EC}"/>
    <cellStyle name="40% - Accent5 3 2 3 3" xfId="5418" xr:uid="{00000000-0005-0000-0000-00009B060000}"/>
    <cellStyle name="40% - Accent5 3 2 3 3 2" xfId="13857" xr:uid="{C2AD3656-023F-4111-8A58-BF2271D4AE02}"/>
    <cellStyle name="40% - Accent5 3 2 3 4" xfId="9639" xr:uid="{20D5CEB6-1DFA-4AFC-B36B-83E5C4405061}"/>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E7F5CDCB-D57C-4A11-99F9-CC6CAA3FAB94}"/>
    <cellStyle name="40% - Accent5 3 2 4 2 3" xfId="12197" xr:uid="{A3A16DBA-4E36-44B6-A28A-829602AF1952}"/>
    <cellStyle name="40% - Accent5 3 2 4 3" xfId="5831" xr:uid="{00000000-0005-0000-0000-00009F060000}"/>
    <cellStyle name="40% - Accent5 3 2 4 3 2" xfId="14270" xr:uid="{5178019E-9EA9-47B5-ABE3-0AEA972A5B96}"/>
    <cellStyle name="40% - Accent5 3 2 4 4" xfId="10052" xr:uid="{5B5BBABF-B86D-41B2-B91F-EFFCEDB3A981}"/>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4EB37FF2-EDC2-4F11-BD3F-94502C39F344}"/>
    <cellStyle name="40% - Accent5 3 2 5 2 3" xfId="12610" xr:uid="{468D2D0F-4A32-4C07-A784-178946726CB4}"/>
    <cellStyle name="40% - Accent5 3 2 5 3" xfId="6244" xr:uid="{00000000-0005-0000-0000-0000A3060000}"/>
    <cellStyle name="40% - Accent5 3 2 5 3 2" xfId="14683" xr:uid="{49EC9DC3-D3CD-40EF-8765-1681F6D372BA}"/>
    <cellStyle name="40% - Accent5 3 2 5 4" xfId="10465" xr:uid="{7294AB72-CECF-42B6-83DF-33D7339DC5AF}"/>
    <cellStyle name="40% - Accent5 3 2 6" xfId="2350" xr:uid="{00000000-0005-0000-0000-0000A4060000}"/>
    <cellStyle name="40% - Accent5 3 2 6 2" xfId="6657" xr:uid="{00000000-0005-0000-0000-0000A5060000}"/>
    <cellStyle name="40% - Accent5 3 2 6 2 2" xfId="15096" xr:uid="{94FDEC00-38EB-482D-8127-949D32A5F206}"/>
    <cellStyle name="40% - Accent5 3 2 6 3" xfId="10878" xr:uid="{ABCD773C-9B29-4A54-98BF-82B1B5CFD41E}"/>
    <cellStyle name="40% - Accent5 3 2 7" xfId="4591" xr:uid="{00000000-0005-0000-0000-0000A6060000}"/>
    <cellStyle name="40% - Accent5 3 2 7 2" xfId="13030" xr:uid="{E8FAFD24-8A8B-49BA-B8F6-C2314EE9D7DA}"/>
    <cellStyle name="40% - Accent5 3 2 8" xfId="8812" xr:uid="{6C174EFA-195F-4758-A648-3212F9104BAF}"/>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376E2B68-5B3A-49BC-916F-DF0282A18C89}"/>
    <cellStyle name="40% - Accent5 3 3 2 3" xfId="11370" xr:uid="{720DE765-6BE4-4895-B428-4CF6BD2439B0}"/>
    <cellStyle name="40% - Accent5 3 3 3" xfId="5004" xr:uid="{00000000-0005-0000-0000-0000AA060000}"/>
    <cellStyle name="40% - Accent5 3 3 3 2" xfId="13443" xr:uid="{71AAC9FA-6AAE-4C0B-AD6D-D8145F240CFB}"/>
    <cellStyle name="40% - Accent5 3 3 4" xfId="9225" xr:uid="{7D433AE0-111A-4A10-8CD1-7D4A82AF0FB0}"/>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3C37789B-DF1F-43E8-8479-E78BFE929E09}"/>
    <cellStyle name="40% - Accent5 3 4 2 3" xfId="11783" xr:uid="{AB535B7B-DE6C-4F91-B8E8-7E0F30191D3E}"/>
    <cellStyle name="40% - Accent5 3 4 3" xfId="5417" xr:uid="{00000000-0005-0000-0000-0000AE060000}"/>
    <cellStyle name="40% - Accent5 3 4 3 2" xfId="13856" xr:uid="{802D4F3B-0FBE-4DD4-BCAA-1FE3F04FCEC7}"/>
    <cellStyle name="40% - Accent5 3 4 4" xfId="9638" xr:uid="{BB0C9B4B-2D95-4852-AF4E-AD41F9A75A71}"/>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854553E7-9815-42B4-8B81-8910A7E4722E}"/>
    <cellStyle name="40% - Accent5 3 5 2 3" xfId="12196" xr:uid="{408ED502-FD95-44DA-B971-5D042A8527D9}"/>
    <cellStyle name="40% - Accent5 3 5 3" xfId="5830" xr:uid="{00000000-0005-0000-0000-0000B2060000}"/>
    <cellStyle name="40% - Accent5 3 5 3 2" xfId="14269" xr:uid="{B8777356-43AE-4539-9542-B4C9FEFA7093}"/>
    <cellStyle name="40% - Accent5 3 5 4" xfId="10051" xr:uid="{0721B983-E9E8-4CEC-9223-EE6F047D82DF}"/>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1B72C034-5718-45E1-AA2A-80FC9413E2EF}"/>
    <cellStyle name="40% - Accent5 3 6 2 3" xfId="12609" xr:uid="{DD702EEE-DBB3-467F-B6E0-3CBD10CEC8BC}"/>
    <cellStyle name="40% - Accent5 3 6 3" xfId="6243" xr:uid="{00000000-0005-0000-0000-0000B6060000}"/>
    <cellStyle name="40% - Accent5 3 6 3 2" xfId="14682" xr:uid="{10372547-A03E-4AEF-B03C-7BC93E4291FA}"/>
    <cellStyle name="40% - Accent5 3 6 4" xfId="10464" xr:uid="{680490C8-AEFB-46AA-B18F-9BECEACA5C5B}"/>
    <cellStyle name="40% - Accent5 3 7" xfId="2349" xr:uid="{00000000-0005-0000-0000-0000B7060000}"/>
    <cellStyle name="40% - Accent5 3 7 2" xfId="6656" xr:uid="{00000000-0005-0000-0000-0000B8060000}"/>
    <cellStyle name="40% - Accent5 3 7 2 2" xfId="15095" xr:uid="{B9995B04-7CDC-4AC5-9F7F-A2BA5842BF8F}"/>
    <cellStyle name="40% - Accent5 3 7 3" xfId="10877" xr:uid="{B92A248C-02B9-4E55-A6BB-A07E6E28A6CB}"/>
    <cellStyle name="40% - Accent5 3 8" xfId="4590" xr:uid="{00000000-0005-0000-0000-0000B9060000}"/>
    <cellStyle name="40% - Accent5 3 8 2" xfId="13029" xr:uid="{9FFF3801-1B98-4FA6-8676-B8A39BB91ED0}"/>
    <cellStyle name="40% - Accent5 3 9" xfId="8811" xr:uid="{81E80618-6420-4E59-9F27-AE629E29C059}"/>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4C8070D4-7BAD-4ED4-82AD-278D10CA0757}"/>
    <cellStyle name="40% - Accent5 4 2 2 3" xfId="11372" xr:uid="{A908B2D9-7A6B-405E-95DE-EB5CA6DD9ABD}"/>
    <cellStyle name="40% - Accent5 4 2 3" xfId="5006" xr:uid="{00000000-0005-0000-0000-0000BE060000}"/>
    <cellStyle name="40% - Accent5 4 2 3 2" xfId="13445" xr:uid="{86D90F9B-B400-4417-A509-1768FE8181C7}"/>
    <cellStyle name="40% - Accent5 4 2 4" xfId="9227" xr:uid="{C2CD508F-5890-4E49-86E5-70C864C86C1F}"/>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BFB515A5-1F17-4827-BCD8-85CF7C46952D}"/>
    <cellStyle name="40% - Accent5 4 3 2 3" xfId="11785" xr:uid="{1AD9E083-A4A3-4BF1-991B-B01AA52EE44F}"/>
    <cellStyle name="40% - Accent5 4 3 3" xfId="5419" xr:uid="{00000000-0005-0000-0000-0000C2060000}"/>
    <cellStyle name="40% - Accent5 4 3 3 2" xfId="13858" xr:uid="{95B2C45E-C7AB-49EB-A0A3-5CDCC2F252FC}"/>
    <cellStyle name="40% - Accent5 4 3 4" xfId="9640" xr:uid="{51DF55FF-92C6-4DAC-8A7D-8DF4BEC401E6}"/>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55D32E18-8DD8-40BE-AA4D-FF2F14FFC72F}"/>
    <cellStyle name="40% - Accent5 4 4 2 3" xfId="12198" xr:uid="{D6403457-BEFE-4403-BCA5-F56E77EAF716}"/>
    <cellStyle name="40% - Accent5 4 4 3" xfId="5832" xr:uid="{00000000-0005-0000-0000-0000C6060000}"/>
    <cellStyle name="40% - Accent5 4 4 3 2" xfId="14271" xr:uid="{EE4643B6-F6B1-4375-816A-BE3CA85AC3AC}"/>
    <cellStyle name="40% - Accent5 4 4 4" xfId="10053" xr:uid="{45B8D613-7DFF-4471-B546-A9B0A50B1676}"/>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0C3B8BAA-A6FC-4449-9266-C376D75C8A86}"/>
    <cellStyle name="40% - Accent5 4 5 2 3" xfId="12611" xr:uid="{6B923660-D7EA-4CBB-AC1D-835777D3B8D0}"/>
    <cellStyle name="40% - Accent5 4 5 3" xfId="6245" xr:uid="{00000000-0005-0000-0000-0000CA060000}"/>
    <cellStyle name="40% - Accent5 4 5 3 2" xfId="14684" xr:uid="{B4FEA094-05C9-4E2F-80FE-4576B655DDB4}"/>
    <cellStyle name="40% - Accent5 4 5 4" xfId="10466" xr:uid="{C7F3A9C5-6E80-4323-BA2B-7A3071CAE665}"/>
    <cellStyle name="40% - Accent5 4 6" xfId="2351" xr:uid="{00000000-0005-0000-0000-0000CB060000}"/>
    <cellStyle name="40% - Accent5 4 6 2" xfId="6658" xr:uid="{00000000-0005-0000-0000-0000CC060000}"/>
    <cellStyle name="40% - Accent5 4 6 2 2" xfId="15097" xr:uid="{677B6E17-E2A8-4108-AD7B-E309248300F0}"/>
    <cellStyle name="40% - Accent5 4 6 3" xfId="10879" xr:uid="{42E03133-98EC-4AAB-87C7-9FD0C5C56F77}"/>
    <cellStyle name="40% - Accent5 4 7" xfId="4592" xr:uid="{00000000-0005-0000-0000-0000CD060000}"/>
    <cellStyle name="40% - Accent5 4 7 2" xfId="13031" xr:uid="{DC3F3786-FED0-4374-843F-42CD6EFB9344}"/>
    <cellStyle name="40% - Accent5 4 8" xfId="8813" xr:uid="{F9C40DDA-B5BE-4CAA-B939-E8357D8584F6}"/>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6B8B524C-FABB-4A0C-A29E-76824769B14D}"/>
    <cellStyle name="40% - Accent5 5 2 3" xfId="11365" xr:uid="{65D16EB6-7A15-4227-8DA2-AC91439BEA29}"/>
    <cellStyle name="40% - Accent5 5 3" xfId="4999" xr:uid="{00000000-0005-0000-0000-0000D1060000}"/>
    <cellStyle name="40% - Accent5 5 3 2" xfId="13438" xr:uid="{82526FD5-A660-4AF7-A6CD-01447A1157CB}"/>
    <cellStyle name="40% - Accent5 5 4" xfId="9220" xr:uid="{AA27ACCE-AAD0-4BE4-B91D-70794FDD42C0}"/>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27110411-01D1-4373-85AC-62227CE2D439}"/>
    <cellStyle name="40% - Accent5 6 2 3" xfId="11778" xr:uid="{643BF5E7-B280-49B1-B5AB-468D0E5BFDD8}"/>
    <cellStyle name="40% - Accent5 6 3" xfId="5412" xr:uid="{00000000-0005-0000-0000-0000D5060000}"/>
    <cellStyle name="40% - Accent5 6 3 2" xfId="13851" xr:uid="{72EEA64C-CA05-4902-9D1C-8B2745A6585C}"/>
    <cellStyle name="40% - Accent5 6 4" xfId="9633" xr:uid="{EB201AAA-AF5F-4E56-9CE8-B601278A6DCB}"/>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7B82E83B-AC0B-4F40-9B27-0CAA98227335}"/>
    <cellStyle name="40% - Accent5 7 2 3" xfId="12191" xr:uid="{19768B3A-0F20-4389-84BD-5673863E60DD}"/>
    <cellStyle name="40% - Accent5 7 3" xfId="5825" xr:uid="{00000000-0005-0000-0000-0000D9060000}"/>
    <cellStyle name="40% - Accent5 7 3 2" xfId="14264" xr:uid="{3C463044-D61C-498C-B996-97BBB409BFD4}"/>
    <cellStyle name="40% - Accent5 7 4" xfId="10046" xr:uid="{9A4C7E31-EE4A-4E1F-8564-C7206EE0A891}"/>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2C50A1D8-CBD5-4CE0-B22B-5DF79CBC357E}"/>
    <cellStyle name="40% - Accent5 8 2 3" xfId="12604" xr:uid="{C03C4D02-1C38-4BF7-ADDC-E4CB4B6E29E5}"/>
    <cellStyle name="40% - Accent5 8 3" xfId="6238" xr:uid="{00000000-0005-0000-0000-0000DD060000}"/>
    <cellStyle name="40% - Accent5 8 3 2" xfId="14677" xr:uid="{DA225D38-DD6E-4D66-B37F-140F09C3104E}"/>
    <cellStyle name="40% - Accent5 8 4" xfId="10459" xr:uid="{205FC2C3-D8C5-4FB8-955F-1E0DAACF8160}"/>
    <cellStyle name="40% - Accent5 9" xfId="2344" xr:uid="{00000000-0005-0000-0000-0000DE060000}"/>
    <cellStyle name="40% - Accent5 9 2" xfId="6651" xr:uid="{00000000-0005-0000-0000-0000DF060000}"/>
    <cellStyle name="40% - Accent5 9 2 2" xfId="15090" xr:uid="{01BEC658-D3D8-42E4-9EAB-729450A56A9E}"/>
    <cellStyle name="40% - Accent5 9 3" xfId="10872" xr:uid="{FB122D92-A8BC-4881-8FAC-E2372A0FBD94}"/>
    <cellStyle name="40% - Accent6" xfId="89" builtinId="51" customBuiltin="1"/>
    <cellStyle name="40% - Accent6 10" xfId="4593" xr:uid="{00000000-0005-0000-0000-0000E1060000}"/>
    <cellStyle name="40% - Accent6 10 2" xfId="13032" xr:uid="{FC97FFFF-2D9A-4C38-8B90-C5316D3FE953}"/>
    <cellStyle name="40% - Accent6 11" xfId="8814" xr:uid="{558C529A-DCA6-4E4C-B156-CC71F560C759}"/>
    <cellStyle name="40% - Accent6 2" xfId="90" xr:uid="{00000000-0005-0000-0000-0000E2060000}"/>
    <cellStyle name="40% - Accent6 2 10" xfId="8815" xr:uid="{1C61FBDE-757E-403E-88DE-286157030FDA}"/>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6C8FA842-95AE-45A9-8780-D33ACF66FADF}"/>
    <cellStyle name="40% - Accent6 2 2 2 2 2 3" xfId="11376" xr:uid="{C91D4E49-3599-4CAB-9A71-2A08BA9E22EC}"/>
    <cellStyle name="40% - Accent6 2 2 2 2 3" xfId="5010" xr:uid="{00000000-0005-0000-0000-0000E8060000}"/>
    <cellStyle name="40% - Accent6 2 2 2 2 3 2" xfId="13449" xr:uid="{12DAF772-1A16-439E-BD47-2A0922442D98}"/>
    <cellStyle name="40% - Accent6 2 2 2 2 4" xfId="9231" xr:uid="{1255A7E0-27E5-48A7-BE38-A165106FF718}"/>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98302FB4-6E0E-4791-9447-50A292525A58}"/>
    <cellStyle name="40% - Accent6 2 2 2 3 2 3" xfId="11789" xr:uid="{AD1F7BEA-0AFD-439D-8BAE-5427B860B40A}"/>
    <cellStyle name="40% - Accent6 2 2 2 3 3" xfId="5423" xr:uid="{00000000-0005-0000-0000-0000EC060000}"/>
    <cellStyle name="40% - Accent6 2 2 2 3 3 2" xfId="13862" xr:uid="{E9D66C28-A63F-4299-9C97-945A3FFDD69D}"/>
    <cellStyle name="40% - Accent6 2 2 2 3 4" xfId="9644" xr:uid="{C905EEA8-9C74-40AA-A498-E1D9F1ED583D}"/>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0D6CE9C3-D4A5-41BB-8321-63BEB7FDEEF1}"/>
    <cellStyle name="40% - Accent6 2 2 2 4 2 3" xfId="12202" xr:uid="{C4DF716C-0B4E-4099-B7F8-3BB66324EC04}"/>
    <cellStyle name="40% - Accent6 2 2 2 4 3" xfId="5836" xr:uid="{00000000-0005-0000-0000-0000F0060000}"/>
    <cellStyle name="40% - Accent6 2 2 2 4 3 2" xfId="14275" xr:uid="{EEBCD902-6D1F-4EA2-A040-249B6F0DFA78}"/>
    <cellStyle name="40% - Accent6 2 2 2 4 4" xfId="10057" xr:uid="{E32D7256-4E31-40CA-909B-D5A8CE991A6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ED6FCB14-C011-40C3-A979-FF3C4DE42365}"/>
    <cellStyle name="40% - Accent6 2 2 2 5 2 3" xfId="12615" xr:uid="{A760D6D3-5BEF-4DEE-8F1F-B02AEC8CFC42}"/>
    <cellStyle name="40% - Accent6 2 2 2 5 3" xfId="6249" xr:uid="{00000000-0005-0000-0000-0000F4060000}"/>
    <cellStyle name="40% - Accent6 2 2 2 5 3 2" xfId="14688" xr:uid="{1BF63E69-465F-4C21-BB36-A9691149793F}"/>
    <cellStyle name="40% - Accent6 2 2 2 5 4" xfId="10470" xr:uid="{B6C0416A-1861-4F66-917E-66A912A55428}"/>
    <cellStyle name="40% - Accent6 2 2 2 6" xfId="2355" xr:uid="{00000000-0005-0000-0000-0000F5060000}"/>
    <cellStyle name="40% - Accent6 2 2 2 6 2" xfId="6662" xr:uid="{00000000-0005-0000-0000-0000F6060000}"/>
    <cellStyle name="40% - Accent6 2 2 2 6 2 2" xfId="15101" xr:uid="{7031A648-7D3B-4BB5-8146-81CE8BCD559F}"/>
    <cellStyle name="40% - Accent6 2 2 2 6 3" xfId="10883" xr:uid="{D4154407-93E8-419F-8737-D522DF94F3E1}"/>
    <cellStyle name="40% - Accent6 2 2 2 7" xfId="4596" xr:uid="{00000000-0005-0000-0000-0000F7060000}"/>
    <cellStyle name="40% - Accent6 2 2 2 7 2" xfId="13035" xr:uid="{ED649D0A-295E-4618-8B1D-482FDF0E42BF}"/>
    <cellStyle name="40% - Accent6 2 2 2 8" xfId="8817" xr:uid="{486F67AD-4799-4B81-9A7F-E962FEAF4B4D}"/>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9A252680-9EB1-49EF-A6C7-47D5FB78DC93}"/>
    <cellStyle name="40% - Accent6 2 2 3 2 3" xfId="11375" xr:uid="{6A528E31-0286-4502-823C-E97C557B6117}"/>
    <cellStyle name="40% - Accent6 2 2 3 3" xfId="5009" xr:uid="{00000000-0005-0000-0000-0000FB060000}"/>
    <cellStyle name="40% - Accent6 2 2 3 3 2" xfId="13448" xr:uid="{45BBB252-8A2D-4E66-A135-91228914780C}"/>
    <cellStyle name="40% - Accent6 2 2 3 4" xfId="9230" xr:uid="{60D9938C-4266-486A-B2BE-7A65F6F40DE1}"/>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5A4789A6-5DEE-42E3-810F-E38621CD7F9E}"/>
    <cellStyle name="40% - Accent6 2 2 4 2 3" xfId="11788" xr:uid="{3FE5587E-AE3A-4CD7-BBA9-52C61E91A76B}"/>
    <cellStyle name="40% - Accent6 2 2 4 3" xfId="5422" xr:uid="{00000000-0005-0000-0000-0000FF060000}"/>
    <cellStyle name="40% - Accent6 2 2 4 3 2" xfId="13861" xr:uid="{A5808A3D-7646-4275-9453-198620A861E6}"/>
    <cellStyle name="40% - Accent6 2 2 4 4" xfId="9643" xr:uid="{FB161A8E-F48B-4959-9DB9-66964E5DE9D7}"/>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15D22A3B-336D-401B-85EF-9925275BAC19}"/>
    <cellStyle name="40% - Accent6 2 2 5 2 3" xfId="12201" xr:uid="{670E5F32-757D-4F23-B33F-1534866076BF}"/>
    <cellStyle name="40% - Accent6 2 2 5 3" xfId="5835" xr:uid="{00000000-0005-0000-0000-000003070000}"/>
    <cellStyle name="40% - Accent6 2 2 5 3 2" xfId="14274" xr:uid="{6225BE8B-140C-4CBD-9756-1D075E6D45D2}"/>
    <cellStyle name="40% - Accent6 2 2 5 4" xfId="10056" xr:uid="{E33E40E7-3FA7-41A6-A9E9-2FD5EF7BCCF9}"/>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3033F7AC-AB1F-4118-B87D-87C0DC6F1C75}"/>
    <cellStyle name="40% - Accent6 2 2 6 2 3" xfId="12614" xr:uid="{B3BFCADA-95CD-40C4-B551-2ADC008B0495}"/>
    <cellStyle name="40% - Accent6 2 2 6 3" xfId="6248" xr:uid="{00000000-0005-0000-0000-000007070000}"/>
    <cellStyle name="40% - Accent6 2 2 6 3 2" xfId="14687" xr:uid="{CB2238EC-5D6C-4FCC-82F4-B46295937C6B}"/>
    <cellStyle name="40% - Accent6 2 2 6 4" xfId="10469" xr:uid="{518195A4-C535-4A3B-9EC1-525D0D79766D}"/>
    <cellStyle name="40% - Accent6 2 2 7" xfId="2354" xr:uid="{00000000-0005-0000-0000-000008070000}"/>
    <cellStyle name="40% - Accent6 2 2 7 2" xfId="6661" xr:uid="{00000000-0005-0000-0000-000009070000}"/>
    <cellStyle name="40% - Accent6 2 2 7 2 2" xfId="15100" xr:uid="{35C16415-D1C9-422C-9D08-209497B91A9B}"/>
    <cellStyle name="40% - Accent6 2 2 7 3" xfId="10882" xr:uid="{81797A1E-53B2-438D-B4A6-8595BD7B9BE6}"/>
    <cellStyle name="40% - Accent6 2 2 8" xfId="4595" xr:uid="{00000000-0005-0000-0000-00000A070000}"/>
    <cellStyle name="40% - Accent6 2 2 8 2" xfId="13034" xr:uid="{CAA6973F-3290-4153-9FF9-1B5A35ABD5F7}"/>
    <cellStyle name="40% - Accent6 2 2 9" xfId="8816" xr:uid="{74E15112-48C9-41B4-8199-02D86A1DEF95}"/>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DF9E3F4B-5215-4D0C-BEB2-40E92373CCFD}"/>
    <cellStyle name="40% - Accent6 2 3 2 2 3" xfId="11377" xr:uid="{B5B23853-707C-4D8E-B5FC-2D003D252EFE}"/>
    <cellStyle name="40% - Accent6 2 3 2 3" xfId="5011" xr:uid="{00000000-0005-0000-0000-00000F070000}"/>
    <cellStyle name="40% - Accent6 2 3 2 3 2" xfId="13450" xr:uid="{56BDC4EF-31A2-40B2-85D7-9797BC505FF8}"/>
    <cellStyle name="40% - Accent6 2 3 2 4" xfId="9232" xr:uid="{EBD41CD4-4F96-4CBD-993C-49D3116CABFA}"/>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14C5441C-018E-4B5C-B726-E92708393C96}"/>
    <cellStyle name="40% - Accent6 2 3 3 2 3" xfId="11790" xr:uid="{A5F8E9BC-E554-41AF-94F1-2D5C37018D5A}"/>
    <cellStyle name="40% - Accent6 2 3 3 3" xfId="5424" xr:uid="{00000000-0005-0000-0000-000013070000}"/>
    <cellStyle name="40% - Accent6 2 3 3 3 2" xfId="13863" xr:uid="{8FC89188-A2FF-41BB-9774-46C55648A7BC}"/>
    <cellStyle name="40% - Accent6 2 3 3 4" xfId="9645" xr:uid="{137111BC-69F7-460F-A187-6147B88AAA2D}"/>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7EB4F4D6-B7A1-491F-8569-8475C1F82AEE}"/>
    <cellStyle name="40% - Accent6 2 3 4 2 3" xfId="12203" xr:uid="{8ABF927D-2AC1-4E10-B877-7E456D682B18}"/>
    <cellStyle name="40% - Accent6 2 3 4 3" xfId="5837" xr:uid="{00000000-0005-0000-0000-000017070000}"/>
    <cellStyle name="40% - Accent6 2 3 4 3 2" xfId="14276" xr:uid="{8771B334-80E7-4274-B2A8-2DC872EC141F}"/>
    <cellStyle name="40% - Accent6 2 3 4 4" xfId="10058" xr:uid="{5BAB7C37-1526-4232-8B3C-5107CFB27C8F}"/>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B86B7714-BBFA-4199-9402-2BFD08B43A1A}"/>
    <cellStyle name="40% - Accent6 2 3 5 2 3" xfId="12616" xr:uid="{A5C02513-43D2-4B3B-9F54-9EFCD4909DFA}"/>
    <cellStyle name="40% - Accent6 2 3 5 3" xfId="6250" xr:uid="{00000000-0005-0000-0000-00001B070000}"/>
    <cellStyle name="40% - Accent6 2 3 5 3 2" xfId="14689" xr:uid="{8EC6752F-CB76-4EE5-A418-170E4FC22003}"/>
    <cellStyle name="40% - Accent6 2 3 5 4" xfId="10471" xr:uid="{9241E299-CDC0-4B4F-A5DD-A751BFD4B0EF}"/>
    <cellStyle name="40% - Accent6 2 3 6" xfId="2356" xr:uid="{00000000-0005-0000-0000-00001C070000}"/>
    <cellStyle name="40% - Accent6 2 3 6 2" xfId="6663" xr:uid="{00000000-0005-0000-0000-00001D070000}"/>
    <cellStyle name="40% - Accent6 2 3 6 2 2" xfId="15102" xr:uid="{CA4FB1D3-B4D1-456B-BC51-4C83F894CB7F}"/>
    <cellStyle name="40% - Accent6 2 3 6 3" xfId="10884" xr:uid="{5FF81361-8085-49A5-BD75-55D112E7A7E3}"/>
    <cellStyle name="40% - Accent6 2 3 7" xfId="4597" xr:uid="{00000000-0005-0000-0000-00001E070000}"/>
    <cellStyle name="40% - Accent6 2 3 7 2" xfId="13036" xr:uid="{70D60881-C66E-4DEE-9265-22C74808E5F0}"/>
    <cellStyle name="40% - Accent6 2 3 8" xfId="8818" xr:uid="{771AE81A-0751-4A73-9449-BE395F946752}"/>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DA4C7410-CB02-49D3-AA86-06350CB2CACB}"/>
    <cellStyle name="40% - Accent6 2 4 2 3" xfId="11374" xr:uid="{7E60C56D-1E71-4FE4-B1C9-ED7FEB9ECB52}"/>
    <cellStyle name="40% - Accent6 2 4 3" xfId="5008" xr:uid="{00000000-0005-0000-0000-000022070000}"/>
    <cellStyle name="40% - Accent6 2 4 3 2" xfId="13447" xr:uid="{7FE7BE3D-5876-4FDD-9DED-7B0BAC09EF00}"/>
    <cellStyle name="40% - Accent6 2 4 4" xfId="9229" xr:uid="{74E369F7-701E-40D5-8A61-57F49DD937E8}"/>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B4F6B4E6-45E2-483E-85C8-D74DCF4126D4}"/>
    <cellStyle name="40% - Accent6 2 5 2 3" xfId="11787" xr:uid="{4EA6C410-A9C6-4B65-B6B0-9504AF5F7208}"/>
    <cellStyle name="40% - Accent6 2 5 3" xfId="5421" xr:uid="{00000000-0005-0000-0000-000026070000}"/>
    <cellStyle name="40% - Accent6 2 5 3 2" xfId="13860" xr:uid="{88796DC2-A9E1-4756-BD7F-23D4C2FC9286}"/>
    <cellStyle name="40% - Accent6 2 5 4" xfId="9642" xr:uid="{B2F5EA3F-E555-43FC-ADD7-8DAE72FF9A9E}"/>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FB0221D3-2E45-4B1A-B337-61A85EA8FACC}"/>
    <cellStyle name="40% - Accent6 2 6 2 3" xfId="12200" xr:uid="{EB9E1291-4A3D-42CC-B741-44EADA5B1588}"/>
    <cellStyle name="40% - Accent6 2 6 3" xfId="5834" xr:uid="{00000000-0005-0000-0000-00002A070000}"/>
    <cellStyle name="40% - Accent6 2 6 3 2" xfId="14273" xr:uid="{F7C98BEE-63BA-4DBD-8669-6127056BD4C1}"/>
    <cellStyle name="40% - Accent6 2 6 4" xfId="10055" xr:uid="{9C36E6C7-0B72-4106-9351-8A1426797E47}"/>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E2CF121E-CAE1-4A77-9ADF-CF5D4929E867}"/>
    <cellStyle name="40% - Accent6 2 7 2 3" xfId="12613" xr:uid="{4CBD5C12-C9FA-468E-8614-1DDCCF117100}"/>
    <cellStyle name="40% - Accent6 2 7 3" xfId="6247" xr:uid="{00000000-0005-0000-0000-00002E070000}"/>
    <cellStyle name="40% - Accent6 2 7 3 2" xfId="14686" xr:uid="{360786AC-52BC-412D-8528-1F992E790E36}"/>
    <cellStyle name="40% - Accent6 2 7 4" xfId="10468" xr:uid="{FC28FD29-9FAD-4FFF-AE04-9B7CC6C21C5A}"/>
    <cellStyle name="40% - Accent6 2 8" xfId="2353" xr:uid="{00000000-0005-0000-0000-00002F070000}"/>
    <cellStyle name="40% - Accent6 2 8 2" xfId="6660" xr:uid="{00000000-0005-0000-0000-000030070000}"/>
    <cellStyle name="40% - Accent6 2 8 2 2" xfId="15099" xr:uid="{9369EDDE-F24B-4F10-9C47-1230437A3065}"/>
    <cellStyle name="40% - Accent6 2 8 3" xfId="10881" xr:uid="{76958A45-9AE6-442A-A2D2-99BA1F0B258D}"/>
    <cellStyle name="40% - Accent6 2 9" xfId="4594" xr:uid="{00000000-0005-0000-0000-000031070000}"/>
    <cellStyle name="40% - Accent6 2 9 2" xfId="13033" xr:uid="{E8CA434B-EAF6-4B1D-BDF0-4552FCB16059}"/>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BC783931-3AA7-4C92-B5F2-87CABF34774D}"/>
    <cellStyle name="40% - Accent6 3 2 2 2 3" xfId="11379" xr:uid="{FBC6300D-47FF-4E08-ACE0-07FA794DB873}"/>
    <cellStyle name="40% - Accent6 3 2 2 3" xfId="5013" xr:uid="{00000000-0005-0000-0000-000037070000}"/>
    <cellStyle name="40% - Accent6 3 2 2 3 2" xfId="13452" xr:uid="{26C6E90D-4419-47C7-B0B9-51DCD6601E43}"/>
    <cellStyle name="40% - Accent6 3 2 2 4" xfId="9234" xr:uid="{36D282AD-6716-4940-BCEB-ADC434DD5FCD}"/>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9F058A03-FBBD-4ADB-A1EE-4045169D286E}"/>
    <cellStyle name="40% - Accent6 3 2 3 2 3" xfId="11792" xr:uid="{ADB22755-1A73-4883-8525-B4B63FA12EFE}"/>
    <cellStyle name="40% - Accent6 3 2 3 3" xfId="5426" xr:uid="{00000000-0005-0000-0000-00003B070000}"/>
    <cellStyle name="40% - Accent6 3 2 3 3 2" xfId="13865" xr:uid="{84DDD39B-D28A-46BC-A68E-DAF4D3873AB6}"/>
    <cellStyle name="40% - Accent6 3 2 3 4" xfId="9647" xr:uid="{7710AB6A-7E19-4842-AB21-6154D2514A0E}"/>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58C9849B-1232-4507-A4F2-30D966AA5479}"/>
    <cellStyle name="40% - Accent6 3 2 4 2 3" xfId="12205" xr:uid="{72553152-A35B-4A7A-96BF-B6BBC14C4EB1}"/>
    <cellStyle name="40% - Accent6 3 2 4 3" xfId="5839" xr:uid="{00000000-0005-0000-0000-00003F070000}"/>
    <cellStyle name="40% - Accent6 3 2 4 3 2" xfId="14278" xr:uid="{2242B46C-11A0-4B97-87B2-4A50F46936B7}"/>
    <cellStyle name="40% - Accent6 3 2 4 4" xfId="10060" xr:uid="{BDCA6415-AE20-4D9E-BDDE-C5D1E7692982}"/>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F02F96DC-8031-4590-A7CE-AA78FB9BD260}"/>
    <cellStyle name="40% - Accent6 3 2 5 2 3" xfId="12618" xr:uid="{54FE44FB-8C82-455F-BF5A-73A0BC5CB435}"/>
    <cellStyle name="40% - Accent6 3 2 5 3" xfId="6252" xr:uid="{00000000-0005-0000-0000-000043070000}"/>
    <cellStyle name="40% - Accent6 3 2 5 3 2" xfId="14691" xr:uid="{DC1E2D3A-57FC-43C7-BD89-43ADA6CA08D7}"/>
    <cellStyle name="40% - Accent6 3 2 5 4" xfId="10473" xr:uid="{20EA9989-4C5A-4D29-9183-65F003769CDB}"/>
    <cellStyle name="40% - Accent6 3 2 6" xfId="2358" xr:uid="{00000000-0005-0000-0000-000044070000}"/>
    <cellStyle name="40% - Accent6 3 2 6 2" xfId="6665" xr:uid="{00000000-0005-0000-0000-000045070000}"/>
    <cellStyle name="40% - Accent6 3 2 6 2 2" xfId="15104" xr:uid="{5FCF2299-3F79-4EF9-906A-29C4DE3A5AF0}"/>
    <cellStyle name="40% - Accent6 3 2 6 3" xfId="10886" xr:uid="{98EAB40E-4044-418F-A296-57FAA78C8909}"/>
    <cellStyle name="40% - Accent6 3 2 7" xfId="4599" xr:uid="{00000000-0005-0000-0000-000046070000}"/>
    <cellStyle name="40% - Accent6 3 2 7 2" xfId="13038" xr:uid="{5724C147-5A2E-4830-89C0-DD9C57E00107}"/>
    <cellStyle name="40% - Accent6 3 2 8" xfId="8820" xr:uid="{B39C0994-E73E-4468-B968-EABD8EB5C4AF}"/>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F591B61E-683E-43DF-97DD-6E216560245E}"/>
    <cellStyle name="40% - Accent6 3 3 2 3" xfId="11378" xr:uid="{33F43122-9DB6-46E6-9B2A-C2387E61BBE8}"/>
    <cellStyle name="40% - Accent6 3 3 3" xfId="5012" xr:uid="{00000000-0005-0000-0000-00004A070000}"/>
    <cellStyle name="40% - Accent6 3 3 3 2" xfId="13451" xr:uid="{18ED5F2E-C3DB-4ECA-86A1-7267CA1276BE}"/>
    <cellStyle name="40% - Accent6 3 3 4" xfId="9233" xr:uid="{B561CBE3-0174-4033-AD35-2CFED0A7CCDC}"/>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92D56A8F-AC37-42EA-9B8D-C84A9FD42675}"/>
    <cellStyle name="40% - Accent6 3 4 2 3" xfId="11791" xr:uid="{AC523942-E002-47AD-91DC-9007CAF0DA26}"/>
    <cellStyle name="40% - Accent6 3 4 3" xfId="5425" xr:uid="{00000000-0005-0000-0000-00004E070000}"/>
    <cellStyle name="40% - Accent6 3 4 3 2" xfId="13864" xr:uid="{D517B47C-35ED-48A7-B36A-632B208A9778}"/>
    <cellStyle name="40% - Accent6 3 4 4" xfId="9646" xr:uid="{E9CC997D-0755-4CF1-9E41-4323CB107CC9}"/>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8A9A56DE-7646-4930-BE08-EDAC1C41CAEE}"/>
    <cellStyle name="40% - Accent6 3 5 2 3" xfId="12204" xr:uid="{10F99138-19FA-427C-A7D3-CEB152201534}"/>
    <cellStyle name="40% - Accent6 3 5 3" xfId="5838" xr:uid="{00000000-0005-0000-0000-000052070000}"/>
    <cellStyle name="40% - Accent6 3 5 3 2" xfId="14277" xr:uid="{EC6247F0-0CDC-456F-83EA-6FE8F3ECB30C}"/>
    <cellStyle name="40% - Accent6 3 5 4" xfId="10059" xr:uid="{95C32B6D-B0E4-47CF-A265-3192145E7FAF}"/>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ADB07B33-9F09-4A40-AB81-3F35B22B82A0}"/>
    <cellStyle name="40% - Accent6 3 6 2 3" xfId="12617" xr:uid="{809CC7E5-2A6B-4C80-B4DE-10320752E94A}"/>
    <cellStyle name="40% - Accent6 3 6 3" xfId="6251" xr:uid="{00000000-0005-0000-0000-000056070000}"/>
    <cellStyle name="40% - Accent6 3 6 3 2" xfId="14690" xr:uid="{2F1F922A-3037-4A13-9372-06A90EDC3F63}"/>
    <cellStyle name="40% - Accent6 3 6 4" xfId="10472" xr:uid="{6B1E7734-C11C-4949-89D1-C4F11C44BC94}"/>
    <cellStyle name="40% - Accent6 3 7" xfId="2357" xr:uid="{00000000-0005-0000-0000-000057070000}"/>
    <cellStyle name="40% - Accent6 3 7 2" xfId="6664" xr:uid="{00000000-0005-0000-0000-000058070000}"/>
    <cellStyle name="40% - Accent6 3 7 2 2" xfId="15103" xr:uid="{090BAF98-D6B7-4A43-990D-A9447BD15B2A}"/>
    <cellStyle name="40% - Accent6 3 7 3" xfId="10885" xr:uid="{E550FC52-8995-4782-9AB8-CD70333AE355}"/>
    <cellStyle name="40% - Accent6 3 8" xfId="4598" xr:uid="{00000000-0005-0000-0000-000059070000}"/>
    <cellStyle name="40% - Accent6 3 8 2" xfId="13037" xr:uid="{63E51525-A0D1-4A56-AB4A-BD1D64A45F08}"/>
    <cellStyle name="40% - Accent6 3 9" xfId="8819" xr:uid="{60C15372-3184-47C1-AE98-BC1A39891687}"/>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96B2A801-B324-4813-B678-0C85BD1472C3}"/>
    <cellStyle name="40% - Accent6 4 2 2 3" xfId="11380" xr:uid="{69ADBFDC-495D-4475-ABF2-FBCEDB5933BB}"/>
    <cellStyle name="40% - Accent6 4 2 3" xfId="5014" xr:uid="{00000000-0005-0000-0000-00005E070000}"/>
    <cellStyle name="40% - Accent6 4 2 3 2" xfId="13453" xr:uid="{8D1D6AB4-BDD3-4AB6-BA39-0A2A22EDDE13}"/>
    <cellStyle name="40% - Accent6 4 2 4" xfId="9235" xr:uid="{4DFD9DCD-C437-4A9A-AFFD-DA3AD674C293}"/>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F054ECE9-8739-4772-844D-54BE255D02A9}"/>
    <cellStyle name="40% - Accent6 4 3 2 3" xfId="11793" xr:uid="{9406D894-50DA-4146-9700-6CDC2E2434FF}"/>
    <cellStyle name="40% - Accent6 4 3 3" xfId="5427" xr:uid="{00000000-0005-0000-0000-000062070000}"/>
    <cellStyle name="40% - Accent6 4 3 3 2" xfId="13866" xr:uid="{0B2B7C43-1448-4990-AE8F-48CC1D8083A5}"/>
    <cellStyle name="40% - Accent6 4 3 4" xfId="9648" xr:uid="{01788CC1-5453-4AA0-B28D-58045F4879DB}"/>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AA1DC5C4-F8A9-4A1B-B1F2-3DD066FFAC90}"/>
    <cellStyle name="40% - Accent6 4 4 2 3" xfId="12206" xr:uid="{9352C663-0AF8-4AAE-8007-096E6E383F20}"/>
    <cellStyle name="40% - Accent6 4 4 3" xfId="5840" xr:uid="{00000000-0005-0000-0000-000066070000}"/>
    <cellStyle name="40% - Accent6 4 4 3 2" xfId="14279" xr:uid="{9A6C95E4-1447-4F3F-949B-864EECB72222}"/>
    <cellStyle name="40% - Accent6 4 4 4" xfId="10061" xr:uid="{45E51F8B-C7DA-4C3C-938B-97219DA47937}"/>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6CA000AD-5316-4A63-9589-1B7841B9255C}"/>
    <cellStyle name="40% - Accent6 4 5 2 3" xfId="12619" xr:uid="{39CD4A56-0A37-4126-AFED-D88F72920799}"/>
    <cellStyle name="40% - Accent6 4 5 3" xfId="6253" xr:uid="{00000000-0005-0000-0000-00006A070000}"/>
    <cellStyle name="40% - Accent6 4 5 3 2" xfId="14692" xr:uid="{2B9C0D55-3F6E-4C65-B958-B71303ECA739}"/>
    <cellStyle name="40% - Accent6 4 5 4" xfId="10474" xr:uid="{13350ADF-8964-45B1-98A1-68E8394A14D4}"/>
    <cellStyle name="40% - Accent6 4 6" xfId="2359" xr:uid="{00000000-0005-0000-0000-00006B070000}"/>
    <cellStyle name="40% - Accent6 4 6 2" xfId="6666" xr:uid="{00000000-0005-0000-0000-00006C070000}"/>
    <cellStyle name="40% - Accent6 4 6 2 2" xfId="15105" xr:uid="{CBC40304-E902-4EF5-8F27-99D7499DAF6B}"/>
    <cellStyle name="40% - Accent6 4 6 3" xfId="10887" xr:uid="{503D7706-350C-4ED7-9EA1-31110A4AACE2}"/>
    <cellStyle name="40% - Accent6 4 7" xfId="4600" xr:uid="{00000000-0005-0000-0000-00006D070000}"/>
    <cellStyle name="40% - Accent6 4 7 2" xfId="13039" xr:uid="{38E452DA-D13A-4E0A-9664-AF5A29F05912}"/>
    <cellStyle name="40% - Accent6 4 8" xfId="8821" xr:uid="{3E54E664-2FCE-41AD-A1E1-9D810DA8FAFE}"/>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A9FF945E-57CC-4945-86DB-3F38F2B756A5}"/>
    <cellStyle name="40% - Accent6 5 2 3" xfId="11373" xr:uid="{6C77F5D5-9EF6-4014-904F-2B0939270AE1}"/>
    <cellStyle name="40% - Accent6 5 3" xfId="5007" xr:uid="{00000000-0005-0000-0000-000071070000}"/>
    <cellStyle name="40% - Accent6 5 3 2" xfId="13446" xr:uid="{F8D9BAE9-36E3-4EAD-9D41-4E458DFE721A}"/>
    <cellStyle name="40% - Accent6 5 4" xfId="9228" xr:uid="{DE288C50-DDAD-4F4B-9F3D-ECF7B903748E}"/>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D87D609F-1AEA-4264-8E67-319880B6597D}"/>
    <cellStyle name="40% - Accent6 6 2 3" xfId="11786" xr:uid="{C46A8CD0-ED72-41ED-9849-6521064B8D42}"/>
    <cellStyle name="40% - Accent6 6 3" xfId="5420" xr:uid="{00000000-0005-0000-0000-000075070000}"/>
    <cellStyle name="40% - Accent6 6 3 2" xfId="13859" xr:uid="{7551C13D-40B9-4D83-948B-09D85B45E122}"/>
    <cellStyle name="40% - Accent6 6 4" xfId="9641" xr:uid="{1F44AB71-6298-4D33-BBF8-0108043A2624}"/>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0632EE39-25F9-4C5E-A866-5CB69267241A}"/>
    <cellStyle name="40% - Accent6 7 2 3" xfId="12199" xr:uid="{B3A95AE6-DDE8-40C0-8446-3A6CCAC5D1C2}"/>
    <cellStyle name="40% - Accent6 7 3" xfId="5833" xr:uid="{00000000-0005-0000-0000-000079070000}"/>
    <cellStyle name="40% - Accent6 7 3 2" xfId="14272" xr:uid="{292EB487-61DC-41AD-BA0D-13151089F194}"/>
    <cellStyle name="40% - Accent6 7 4" xfId="10054" xr:uid="{2AEE95B0-5C19-4503-BFDE-B800800B089F}"/>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38C7A2FB-F9C0-40DD-BB4C-DEEF6FB01F25}"/>
    <cellStyle name="40% - Accent6 8 2 3" xfId="12612" xr:uid="{1EEBD425-47D7-44D1-9428-79A448582192}"/>
    <cellStyle name="40% - Accent6 8 3" xfId="6246" xr:uid="{00000000-0005-0000-0000-00007D070000}"/>
    <cellStyle name="40% - Accent6 8 3 2" xfId="14685" xr:uid="{C0F6340D-9B21-40B1-9005-CBF2115B30D5}"/>
    <cellStyle name="40% - Accent6 8 4" xfId="10467" xr:uid="{58DAF535-0777-40B3-8FB8-3D083C7914A8}"/>
    <cellStyle name="40% - Accent6 9" xfId="2352" xr:uid="{00000000-0005-0000-0000-00007E070000}"/>
    <cellStyle name="40% - Accent6 9 2" xfId="6659" xr:uid="{00000000-0005-0000-0000-00007F070000}"/>
    <cellStyle name="40% - Accent6 9 2 2" xfId="15098" xr:uid="{47E018E1-6CAC-460A-B93E-6A76A19E3B74}"/>
    <cellStyle name="40% - Accent6 9 3" xfId="10880" xr:uid="{358FD1B3-24C4-475A-839A-E0B2A4CBE232}"/>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83E05929-1199-46D8-88CE-976DA4603760}"/>
    <cellStyle name="Comma 4 2 2 2 10 3" xfId="11205" xr:uid="{1F90137D-F556-4323-8B4E-7AC61D21A61C}"/>
    <cellStyle name="Comma 4 2 2 2 11" xfId="4601" xr:uid="{00000000-0005-0000-0000-0000A3070000}"/>
    <cellStyle name="Comma 4 2 2 2 11 2" xfId="13040" xr:uid="{2BAE1B63-2972-45E2-92A5-EC50BE023A8D}"/>
    <cellStyle name="Comma 4 2 2 2 12" xfId="8822" xr:uid="{11FBA9DF-E606-4E63-AFB1-EAAE23184387}"/>
    <cellStyle name="Comma 4 2 2 2 2" xfId="129" xr:uid="{00000000-0005-0000-0000-0000A4070000}"/>
    <cellStyle name="Comma 4 2 2 2 2 10" xfId="4602" xr:uid="{00000000-0005-0000-0000-0000A5070000}"/>
    <cellStyle name="Comma 4 2 2 2 2 10 2" xfId="13041" xr:uid="{78420AB6-E939-439C-8E16-65A1110FF67B}"/>
    <cellStyle name="Comma 4 2 2 2 2 11" xfId="8823" xr:uid="{8C9619E7-D816-4124-BF83-8BDADEBE7161}"/>
    <cellStyle name="Comma 4 2 2 2 2 2" xfId="130" xr:uid="{00000000-0005-0000-0000-0000A6070000}"/>
    <cellStyle name="Comma 4 2 2 2 2 2 10" xfId="8824" xr:uid="{4A24DF24-D527-453F-95B9-614432D740F8}"/>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FA7E9B5B-D4E5-4220-BB67-456F13FDBD88}"/>
    <cellStyle name="Comma 4 2 2 2 2 2 2 2 3" xfId="11383" xr:uid="{72499900-B178-4F1C-91F7-D9DFD6A1B7BE}"/>
    <cellStyle name="Comma 4 2 2 2 2 2 2 3" xfId="5017" xr:uid="{00000000-0005-0000-0000-0000AA070000}"/>
    <cellStyle name="Comma 4 2 2 2 2 2 2 3 2" xfId="13456" xr:uid="{45A489E1-EFB9-4F2D-8502-07E6B314F7D1}"/>
    <cellStyle name="Comma 4 2 2 2 2 2 2 4" xfId="9238" xr:uid="{C9276685-D637-436B-86AF-D6359187BA0B}"/>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31B6C0CA-E76C-4A77-A6A8-A8E677DE1EBA}"/>
    <cellStyle name="Comma 4 2 2 2 2 2 3 2 3" xfId="11796" xr:uid="{625A389C-6E57-45F9-8445-8C782DB92E6E}"/>
    <cellStyle name="Comma 4 2 2 2 2 2 3 3" xfId="5430" xr:uid="{00000000-0005-0000-0000-0000AE070000}"/>
    <cellStyle name="Comma 4 2 2 2 2 2 3 3 2" xfId="13869" xr:uid="{7DEA56A0-35F8-4371-9862-63F0BF282504}"/>
    <cellStyle name="Comma 4 2 2 2 2 2 3 4" xfId="9651" xr:uid="{5A6AF504-D9DB-4715-A9AD-8DFA481ADA32}"/>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E1631EAD-F17B-4906-86D2-752091EDE2F8}"/>
    <cellStyle name="Comma 4 2 2 2 2 2 4 2 3" xfId="12209" xr:uid="{29B3D987-523E-42AB-B754-40E588866525}"/>
    <cellStyle name="Comma 4 2 2 2 2 2 4 3" xfId="5843" xr:uid="{00000000-0005-0000-0000-0000B2070000}"/>
    <cellStyle name="Comma 4 2 2 2 2 2 4 3 2" xfId="14282" xr:uid="{45EC066C-E94A-478E-A9AB-AF22079128F7}"/>
    <cellStyle name="Comma 4 2 2 2 2 2 4 4" xfId="10064" xr:uid="{952A44A0-C309-4911-8846-610F33043CA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ABABFC29-A5A7-4D77-86B1-03862B5EB82B}"/>
    <cellStyle name="Comma 4 2 2 2 2 2 5 2 3" xfId="12622" xr:uid="{BA7F624D-7972-4DC5-AF65-1D5687EE27F3}"/>
    <cellStyle name="Comma 4 2 2 2 2 2 5 3" xfId="6256" xr:uid="{00000000-0005-0000-0000-0000B6070000}"/>
    <cellStyle name="Comma 4 2 2 2 2 2 5 3 2" xfId="14695" xr:uid="{CD4CACB7-742A-4F28-B54E-6556EC422083}"/>
    <cellStyle name="Comma 4 2 2 2 2 2 5 4" xfId="10477" xr:uid="{99445983-8C42-4510-A491-09753F7FBBBD}"/>
    <cellStyle name="Comma 4 2 2 2 2 2 6" xfId="2384" xr:uid="{00000000-0005-0000-0000-0000B7070000}"/>
    <cellStyle name="Comma 4 2 2 2 2 2 6 2" xfId="6669" xr:uid="{00000000-0005-0000-0000-0000B8070000}"/>
    <cellStyle name="Comma 4 2 2 2 2 2 6 2 2" xfId="15108" xr:uid="{1F45FA38-EA5B-4B77-845E-75A28783467D}"/>
    <cellStyle name="Comma 4 2 2 2 2 2 6 3" xfId="10890" xr:uid="{E2EE5C04-C6ED-4A1F-B5A6-DC41D7FC336D}"/>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B9A82196-0655-4D6E-8032-73DBECA247B8}"/>
    <cellStyle name="Comma 4 2 2 2 2 2 8 3" xfId="11207" xr:uid="{CEA47384-C6FF-4680-A3E2-C841B9914312}"/>
    <cellStyle name="Comma 4 2 2 2 2 2 9" xfId="4603" xr:uid="{00000000-0005-0000-0000-0000BC070000}"/>
    <cellStyle name="Comma 4 2 2 2 2 2 9 2" xfId="13042" xr:uid="{FC270EB3-C68E-42A1-8823-25EC0E86C26F}"/>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62274F06-2B3E-4617-810B-F92A4B0A274C}"/>
    <cellStyle name="Comma 4 2 2 2 2 3 2 3" xfId="11382" xr:uid="{F5476083-16F6-4173-BC67-DCF54DE6B953}"/>
    <cellStyle name="Comma 4 2 2 2 2 3 3" xfId="5016" xr:uid="{00000000-0005-0000-0000-0000C0070000}"/>
    <cellStyle name="Comma 4 2 2 2 2 3 3 2" xfId="13455" xr:uid="{020B6F3A-2C51-4442-91A0-9B8DDBF937C0}"/>
    <cellStyle name="Comma 4 2 2 2 2 3 4" xfId="9237" xr:uid="{614686E1-5EF1-4E86-93B9-5C667C2C6679}"/>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DB906246-B196-4E50-8DB7-BDE2AE066A10}"/>
    <cellStyle name="Comma 4 2 2 2 2 4 2 3" xfId="11795" xr:uid="{56C5BA28-7174-440D-B397-9469A85C8926}"/>
    <cellStyle name="Comma 4 2 2 2 2 4 3" xfId="5429" xr:uid="{00000000-0005-0000-0000-0000C4070000}"/>
    <cellStyle name="Comma 4 2 2 2 2 4 3 2" xfId="13868" xr:uid="{38DD8E6B-B7F6-4AB1-9A4B-BE037E5E9352}"/>
    <cellStyle name="Comma 4 2 2 2 2 4 4" xfId="9650" xr:uid="{1B6B0959-EC4D-4AB0-8D26-A8E3C914B13E}"/>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F5BBBFB4-D3A0-4573-98CF-F4FB29EE8614}"/>
    <cellStyle name="Comma 4 2 2 2 2 5 2 3" xfId="12208" xr:uid="{5195B533-EC15-4717-9831-E00668C6B431}"/>
    <cellStyle name="Comma 4 2 2 2 2 5 3" xfId="5842" xr:uid="{00000000-0005-0000-0000-0000C8070000}"/>
    <cellStyle name="Comma 4 2 2 2 2 5 3 2" xfId="14281" xr:uid="{172D9FE0-59CD-41F0-BB68-C2AB92D8930E}"/>
    <cellStyle name="Comma 4 2 2 2 2 5 4" xfId="10063" xr:uid="{77AC3715-9A2F-45E0-9C42-95898F49DFD7}"/>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35AA7237-B818-49BF-BE7F-3487AACCE422}"/>
    <cellStyle name="Comma 4 2 2 2 2 6 2 3" xfId="12621" xr:uid="{00ACBC80-4D5A-4901-BE19-4A8988DE20C4}"/>
    <cellStyle name="Comma 4 2 2 2 2 6 3" xfId="6255" xr:uid="{00000000-0005-0000-0000-0000CC070000}"/>
    <cellStyle name="Comma 4 2 2 2 2 6 3 2" xfId="14694" xr:uid="{F45F7727-B62A-41C9-8F9A-DF321E3C7100}"/>
    <cellStyle name="Comma 4 2 2 2 2 6 4" xfId="10476" xr:uid="{01A09CBA-2C63-4311-9CA2-46BC8A526A0A}"/>
    <cellStyle name="Comma 4 2 2 2 2 7" xfId="2383" xr:uid="{00000000-0005-0000-0000-0000CD070000}"/>
    <cellStyle name="Comma 4 2 2 2 2 7 2" xfId="6668" xr:uid="{00000000-0005-0000-0000-0000CE070000}"/>
    <cellStyle name="Comma 4 2 2 2 2 7 2 2" xfId="15107" xr:uid="{ED2A0653-57D2-4FF6-B4E2-F0890B575BD2}"/>
    <cellStyle name="Comma 4 2 2 2 2 7 3" xfId="10889" xr:uid="{DE62CAB9-BECA-40C9-9842-840AAD163E9A}"/>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BC6B9209-2C45-4733-83DD-6A0C11EAEC3D}"/>
    <cellStyle name="Comma 4 2 2 2 2 9 3" xfId="11206" xr:uid="{F194E1AE-E997-445A-9459-CFA609CD4703}"/>
    <cellStyle name="Comma 4 2 2 2 3" xfId="131" xr:uid="{00000000-0005-0000-0000-0000D2070000}"/>
    <cellStyle name="Comma 4 2 2 2 3 10" xfId="8825" xr:uid="{D956246D-9DEB-4121-AB56-1F319B371851}"/>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F6BEE0F5-C569-4B66-8DB6-F778D26418D9}"/>
    <cellStyle name="Comma 4 2 2 2 3 2 2 3" xfId="11384" xr:uid="{B7B8F6DB-D78F-4CEC-BE46-B43163474E56}"/>
    <cellStyle name="Comma 4 2 2 2 3 2 3" xfId="5018" xr:uid="{00000000-0005-0000-0000-0000D6070000}"/>
    <cellStyle name="Comma 4 2 2 2 3 2 3 2" xfId="13457" xr:uid="{71CD1EA3-94E7-4101-884E-F2DDCFAE6CC6}"/>
    <cellStyle name="Comma 4 2 2 2 3 2 4" xfId="9239" xr:uid="{4273C9DF-92A3-4A25-A852-0D63ABAAB145}"/>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9169F176-EFE0-40B2-A6F4-A0887CD18ED1}"/>
    <cellStyle name="Comma 4 2 2 2 3 3 2 3" xfId="11797" xr:uid="{FE988BBF-BE56-46D9-B0C8-85CD05F5C7E6}"/>
    <cellStyle name="Comma 4 2 2 2 3 3 3" xfId="5431" xr:uid="{00000000-0005-0000-0000-0000DA070000}"/>
    <cellStyle name="Comma 4 2 2 2 3 3 3 2" xfId="13870" xr:uid="{04C20A7F-6579-4BB0-BB01-1F385D675AEE}"/>
    <cellStyle name="Comma 4 2 2 2 3 3 4" xfId="9652" xr:uid="{A78A4A0A-D415-4C06-B355-CC3FBD57509B}"/>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411DFDB7-9C0E-42F7-A51B-FFBEB8943D4F}"/>
    <cellStyle name="Comma 4 2 2 2 3 4 2 3" xfId="12210" xr:uid="{84A9EE66-5A55-4430-A01F-02F73984149A}"/>
    <cellStyle name="Comma 4 2 2 2 3 4 3" xfId="5844" xr:uid="{00000000-0005-0000-0000-0000DE070000}"/>
    <cellStyle name="Comma 4 2 2 2 3 4 3 2" xfId="14283" xr:uid="{119B45DA-DF8F-492C-98EE-F59560526A35}"/>
    <cellStyle name="Comma 4 2 2 2 3 4 4" xfId="10065" xr:uid="{A0A79C21-AEED-49CE-A0D7-05AEFE5259CC}"/>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ACF120A5-68F5-4C69-AF54-7AEB2CD6D48F}"/>
    <cellStyle name="Comma 4 2 2 2 3 5 2 3" xfId="12623" xr:uid="{344A9D9A-9072-4CA0-BBA6-BA2EA7E568FC}"/>
    <cellStyle name="Comma 4 2 2 2 3 5 3" xfId="6257" xr:uid="{00000000-0005-0000-0000-0000E2070000}"/>
    <cellStyle name="Comma 4 2 2 2 3 5 3 2" xfId="14696" xr:uid="{E4675813-CB51-4C69-AA5E-197DCE4B9753}"/>
    <cellStyle name="Comma 4 2 2 2 3 5 4" xfId="10478" xr:uid="{E80D0BFB-018A-4EEF-AB03-A459223B9FED}"/>
    <cellStyle name="Comma 4 2 2 2 3 6" xfId="2385" xr:uid="{00000000-0005-0000-0000-0000E3070000}"/>
    <cellStyle name="Comma 4 2 2 2 3 6 2" xfId="6670" xr:uid="{00000000-0005-0000-0000-0000E4070000}"/>
    <cellStyle name="Comma 4 2 2 2 3 6 2 2" xfId="15109" xr:uid="{EEAA02CC-8810-44B5-A621-25CE4D4529C0}"/>
    <cellStyle name="Comma 4 2 2 2 3 6 3" xfId="10891" xr:uid="{D1C670CB-FB9B-48B1-ACE8-5F319056081F}"/>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F407871B-7CF1-4C6E-B26D-D8DBCCFE9EEE}"/>
    <cellStyle name="Comma 4 2 2 2 3 8 3" xfId="11208" xr:uid="{B1D2A247-2F01-4654-B424-087788263596}"/>
    <cellStyle name="Comma 4 2 2 2 3 9" xfId="4604" xr:uid="{00000000-0005-0000-0000-0000E8070000}"/>
    <cellStyle name="Comma 4 2 2 2 3 9 2" xfId="13043" xr:uid="{C89C3B78-DAB3-499D-966E-7B2DE04060FA}"/>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39E1BE21-A96D-45EB-AC4A-DD9B46AACCC1}"/>
    <cellStyle name="Comma 4 2 2 2 4 2 3" xfId="11381" xr:uid="{9956BFE6-5781-4436-B195-1AF4F2694F74}"/>
    <cellStyle name="Comma 4 2 2 2 4 3" xfId="5015" xr:uid="{00000000-0005-0000-0000-0000EC070000}"/>
    <cellStyle name="Comma 4 2 2 2 4 3 2" xfId="13454" xr:uid="{DCBE81A2-270D-47B1-B322-FD17AD9F5167}"/>
    <cellStyle name="Comma 4 2 2 2 4 4" xfId="9236" xr:uid="{4DA42B92-4556-4353-8723-97F41FD45001}"/>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DC0531A3-45FA-4ED0-B76C-A26DA65A8D93}"/>
    <cellStyle name="Comma 4 2 2 2 5 2 3" xfId="11794" xr:uid="{FEFD82AA-889C-48BC-9558-0C904765AF4E}"/>
    <cellStyle name="Comma 4 2 2 2 5 3" xfId="5428" xr:uid="{00000000-0005-0000-0000-0000F0070000}"/>
    <cellStyle name="Comma 4 2 2 2 5 3 2" xfId="13867" xr:uid="{EAABEDEA-1A6C-4F69-A67F-1FF4379D0A1F}"/>
    <cellStyle name="Comma 4 2 2 2 5 4" xfId="9649" xr:uid="{603C8BCF-8E0F-44D3-A80C-53294DC83008}"/>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3886CA11-DA14-4E73-9BB6-AB1C28559137}"/>
    <cellStyle name="Comma 4 2 2 2 6 2 3" xfId="12207" xr:uid="{D81865AF-04A1-45AB-AC1C-21F3F49AF862}"/>
    <cellStyle name="Comma 4 2 2 2 6 3" xfId="5841" xr:uid="{00000000-0005-0000-0000-0000F4070000}"/>
    <cellStyle name="Comma 4 2 2 2 6 3 2" xfId="14280" xr:uid="{6AE6572F-0404-48AF-BD94-D57FFA1B4588}"/>
    <cellStyle name="Comma 4 2 2 2 6 4" xfId="10062" xr:uid="{3BF08973-7D03-4646-912F-236188241E14}"/>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9FBA8988-2C00-423F-83A7-ACA17FA8A981}"/>
    <cellStyle name="Comma 4 2 2 2 7 2 3" xfId="12620" xr:uid="{B4CEBAB1-DFFC-439A-943F-57B7FDAD3DFF}"/>
    <cellStyle name="Comma 4 2 2 2 7 3" xfId="6254" xr:uid="{00000000-0005-0000-0000-0000F8070000}"/>
    <cellStyle name="Comma 4 2 2 2 7 3 2" xfId="14693" xr:uid="{DD676719-8423-4D7E-84A1-61D63CC6EC44}"/>
    <cellStyle name="Comma 4 2 2 2 7 4" xfId="10475" xr:uid="{C62C2767-C777-43DB-9E30-77F2E0199A1C}"/>
    <cellStyle name="Comma 4 2 2 2 8" xfId="2382" xr:uid="{00000000-0005-0000-0000-0000F9070000}"/>
    <cellStyle name="Comma 4 2 2 2 8 2" xfId="6667" xr:uid="{00000000-0005-0000-0000-0000FA070000}"/>
    <cellStyle name="Comma 4 2 2 2 8 2 2" xfId="15106" xr:uid="{0195E4EA-96A5-4429-9810-9BC6540AA694}"/>
    <cellStyle name="Comma 4 2 2 2 8 3" xfId="10888" xr:uid="{625B8F29-2D8D-4586-AA18-02AB1C3C6700}"/>
    <cellStyle name="Comma 4 2 2 2 9" xfId="2381" xr:uid="{00000000-0005-0000-0000-0000FB070000}"/>
    <cellStyle name="Comma 4 2 2 3" xfId="132" xr:uid="{00000000-0005-0000-0000-0000FC070000}"/>
    <cellStyle name="Comma 4 2 2 3 10" xfId="4605" xr:uid="{00000000-0005-0000-0000-0000FD070000}"/>
    <cellStyle name="Comma 4 2 2 3 10 2" xfId="13044" xr:uid="{16609D7B-8E83-40CB-9B95-80F998C0C91C}"/>
    <cellStyle name="Comma 4 2 2 3 11" xfId="8826" xr:uid="{C594BA62-A8D6-47B9-8CBF-0C53045BCA3B}"/>
    <cellStyle name="Comma 4 2 2 3 2" xfId="133" xr:uid="{00000000-0005-0000-0000-0000FE070000}"/>
    <cellStyle name="Comma 4 2 2 3 2 10" xfId="8827" xr:uid="{24CA57FF-6D82-4231-A2BD-FB76F79F77C1}"/>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22DD4ED4-74E6-4B3E-AD7D-1970181C9E78}"/>
    <cellStyle name="Comma 4 2 2 3 2 2 2 3" xfId="11386" xr:uid="{B99FE85F-6648-4276-811F-0A7A74F81660}"/>
    <cellStyle name="Comma 4 2 2 3 2 2 3" xfId="5020" xr:uid="{00000000-0005-0000-0000-000002080000}"/>
    <cellStyle name="Comma 4 2 2 3 2 2 3 2" xfId="13459" xr:uid="{2905505A-0F25-422D-914C-806F084D0297}"/>
    <cellStyle name="Comma 4 2 2 3 2 2 4" xfId="9241" xr:uid="{1D49C577-C48A-4C1B-A604-15E66E91486E}"/>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9401B788-7CAB-4222-8D8C-BADB8911D8F5}"/>
    <cellStyle name="Comma 4 2 2 3 2 3 2 3" xfId="11799" xr:uid="{309D9B8D-C9FF-438C-BEE6-A1EA2386C7F3}"/>
    <cellStyle name="Comma 4 2 2 3 2 3 3" xfId="5433" xr:uid="{00000000-0005-0000-0000-000006080000}"/>
    <cellStyle name="Comma 4 2 2 3 2 3 3 2" xfId="13872" xr:uid="{B7FEAFCB-D2E6-48CB-94B0-CF6A5809F1C5}"/>
    <cellStyle name="Comma 4 2 2 3 2 3 4" xfId="9654" xr:uid="{41EB8D2F-511F-4ACC-8339-F42DA0E5AEA0}"/>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5148BD08-303B-400C-BDD2-70CD104EF7ED}"/>
    <cellStyle name="Comma 4 2 2 3 2 4 2 3" xfId="12212" xr:uid="{395A3ECA-1909-4D8A-B170-F53560719987}"/>
    <cellStyle name="Comma 4 2 2 3 2 4 3" xfId="5846" xr:uid="{00000000-0005-0000-0000-00000A080000}"/>
    <cellStyle name="Comma 4 2 2 3 2 4 3 2" xfId="14285" xr:uid="{5853D7D4-553E-4236-BC7F-6818D98E6D9F}"/>
    <cellStyle name="Comma 4 2 2 3 2 4 4" xfId="10067" xr:uid="{53E1397B-29A1-47E2-B0F9-6D113E38D1E1}"/>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61585E34-A0DC-4BA9-99A8-AD635A830EBA}"/>
    <cellStyle name="Comma 4 2 2 3 2 5 2 3" xfId="12625" xr:uid="{7C256608-BBDD-46AC-89F9-154A664730FA}"/>
    <cellStyle name="Comma 4 2 2 3 2 5 3" xfId="6259" xr:uid="{00000000-0005-0000-0000-00000E080000}"/>
    <cellStyle name="Comma 4 2 2 3 2 5 3 2" xfId="14698" xr:uid="{2A27BBEF-F58E-4A10-85E8-78D13C9ACB7D}"/>
    <cellStyle name="Comma 4 2 2 3 2 5 4" xfId="10480" xr:uid="{F0469718-BCEE-4C3B-9CCA-1EECB8058F3C}"/>
    <cellStyle name="Comma 4 2 2 3 2 6" xfId="2387" xr:uid="{00000000-0005-0000-0000-00000F080000}"/>
    <cellStyle name="Comma 4 2 2 3 2 6 2" xfId="6672" xr:uid="{00000000-0005-0000-0000-000010080000}"/>
    <cellStyle name="Comma 4 2 2 3 2 6 2 2" xfId="15111" xr:uid="{D0D6381D-1921-4A50-97E8-CC56576F9F19}"/>
    <cellStyle name="Comma 4 2 2 3 2 6 3" xfId="10893" xr:uid="{47BD5E45-5A92-4040-A4A6-CF0B860683B2}"/>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B566BC1A-DF89-4B47-BE17-23FEFF57CC71}"/>
    <cellStyle name="Comma 4 2 2 3 2 8 3" xfId="11210" xr:uid="{97FA0044-7040-40E5-8592-41F24F1FC561}"/>
    <cellStyle name="Comma 4 2 2 3 2 9" xfId="4606" xr:uid="{00000000-0005-0000-0000-000014080000}"/>
    <cellStyle name="Comma 4 2 2 3 2 9 2" xfId="13045" xr:uid="{89231C7E-C1A5-484F-A4DC-C7DDE3E4FB6E}"/>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9F747318-7431-470E-8BEF-A032C1F33F07}"/>
    <cellStyle name="Comma 4 2 2 3 3 2 3" xfId="11385" xr:uid="{D07B14AF-4AC3-4273-A4AC-D124BDA78132}"/>
    <cellStyle name="Comma 4 2 2 3 3 3" xfId="5019" xr:uid="{00000000-0005-0000-0000-000018080000}"/>
    <cellStyle name="Comma 4 2 2 3 3 3 2" xfId="13458" xr:uid="{9232132B-250F-4794-8E02-B84835CAAF4E}"/>
    <cellStyle name="Comma 4 2 2 3 3 4" xfId="9240" xr:uid="{DEA05FDD-2495-4860-88C8-D16D521FCA90}"/>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11A685B7-9B36-4789-A330-C46A1ABDCD29}"/>
    <cellStyle name="Comma 4 2 2 3 4 2 3" xfId="11798" xr:uid="{178389A1-4DD4-4813-A077-4365172D9A4C}"/>
    <cellStyle name="Comma 4 2 2 3 4 3" xfId="5432" xr:uid="{00000000-0005-0000-0000-00001C080000}"/>
    <cellStyle name="Comma 4 2 2 3 4 3 2" xfId="13871" xr:uid="{5FF525DD-4927-4D59-BACC-F97779080881}"/>
    <cellStyle name="Comma 4 2 2 3 4 4" xfId="9653" xr:uid="{67C9AD03-31F8-4C27-979D-0D8812DC3BDD}"/>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76BB31BA-DAE0-4524-824D-A54A9E0F8472}"/>
    <cellStyle name="Comma 4 2 2 3 5 2 3" xfId="12211" xr:uid="{181B6D91-F736-424B-A524-6C5E072A2750}"/>
    <cellStyle name="Comma 4 2 2 3 5 3" xfId="5845" xr:uid="{00000000-0005-0000-0000-000020080000}"/>
    <cellStyle name="Comma 4 2 2 3 5 3 2" xfId="14284" xr:uid="{28385A99-A3CA-43D8-81FE-838BB2CD2619}"/>
    <cellStyle name="Comma 4 2 2 3 5 4" xfId="10066" xr:uid="{9055A9B5-B34E-446A-B40D-8D44146824F4}"/>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AE205AE0-68F9-4F90-910D-274A83667D79}"/>
    <cellStyle name="Comma 4 2 2 3 6 2 3" xfId="12624" xr:uid="{422AC9FF-B2E0-4B24-B897-5B537AFDAA07}"/>
    <cellStyle name="Comma 4 2 2 3 6 3" xfId="6258" xr:uid="{00000000-0005-0000-0000-000024080000}"/>
    <cellStyle name="Comma 4 2 2 3 6 3 2" xfId="14697" xr:uid="{FC8AA916-0DB9-42AF-A4AD-01963091F141}"/>
    <cellStyle name="Comma 4 2 2 3 6 4" xfId="10479" xr:uid="{9538C801-7F37-452C-AAB7-0CD3F9FE1C93}"/>
    <cellStyle name="Comma 4 2 2 3 7" xfId="2386" xr:uid="{00000000-0005-0000-0000-000025080000}"/>
    <cellStyle name="Comma 4 2 2 3 7 2" xfId="6671" xr:uid="{00000000-0005-0000-0000-000026080000}"/>
    <cellStyle name="Comma 4 2 2 3 7 2 2" xfId="15110" xr:uid="{0A7C35C2-F9B7-4657-87A2-AEF5C00A1970}"/>
    <cellStyle name="Comma 4 2 2 3 7 3" xfId="10892" xr:uid="{2DD8237D-39CF-4B5B-B081-FBBB9BEC2695}"/>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11F80987-A546-4FD3-8047-18B6AF3A9FF2}"/>
    <cellStyle name="Comma 4 2 2 3 9 3" xfId="11209" xr:uid="{DF9BF06D-EE00-41D5-AF40-9E99ED26BC8A}"/>
    <cellStyle name="Comma 4 2 2 4" xfId="134" xr:uid="{00000000-0005-0000-0000-00002A080000}"/>
    <cellStyle name="Comma 4 2 2 4 10" xfId="8828" xr:uid="{DF264F2F-ECC3-4A29-80A4-7ACD7FCE0551}"/>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2729EAB3-A0D0-48A3-9F06-9560633F2C66}"/>
    <cellStyle name="Comma 4 2 2 4 2 2 3" xfId="11387" xr:uid="{30CC07BB-078D-484C-8BD6-613BB1399B0B}"/>
    <cellStyle name="Comma 4 2 2 4 2 3" xfId="5021" xr:uid="{00000000-0005-0000-0000-00002E080000}"/>
    <cellStyle name="Comma 4 2 2 4 2 3 2" xfId="13460" xr:uid="{F6A64737-01E6-490D-914A-5DD663C62EF6}"/>
    <cellStyle name="Comma 4 2 2 4 2 4" xfId="9242" xr:uid="{28CE71A2-9D0E-4675-B662-928EA214786A}"/>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264B0E71-FE37-49B1-81F6-3226CA5A5718}"/>
    <cellStyle name="Comma 4 2 2 4 3 2 3" xfId="11800" xr:uid="{4E4A2D4C-DFF2-4506-9EAC-4C4DBAB8B26F}"/>
    <cellStyle name="Comma 4 2 2 4 3 3" xfId="5434" xr:uid="{00000000-0005-0000-0000-000032080000}"/>
    <cellStyle name="Comma 4 2 2 4 3 3 2" xfId="13873" xr:uid="{DEF77BB2-6A6E-4056-B4D4-BC5BA27A7F2D}"/>
    <cellStyle name="Comma 4 2 2 4 3 4" xfId="9655" xr:uid="{2043BA35-B111-432B-8CDB-D6983CA3346A}"/>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42AACED4-E0B3-45DE-9897-EEEB06CA0FD7}"/>
    <cellStyle name="Comma 4 2 2 4 4 2 3" xfId="12213" xr:uid="{54C7FB42-6CA4-4DA3-96FB-143F5FB294D0}"/>
    <cellStyle name="Comma 4 2 2 4 4 3" xfId="5847" xr:uid="{00000000-0005-0000-0000-000036080000}"/>
    <cellStyle name="Comma 4 2 2 4 4 3 2" xfId="14286" xr:uid="{BC7C8E95-B6C0-4011-BB71-DB85223D1C41}"/>
    <cellStyle name="Comma 4 2 2 4 4 4" xfId="10068" xr:uid="{54C68B85-EE50-4245-9FE9-B0506808EB54}"/>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86BEDF26-F40F-411F-8815-699BA2A0557D}"/>
    <cellStyle name="Comma 4 2 2 4 5 2 3" xfId="12626" xr:uid="{F43E9702-D476-4F6E-A92A-AC033FC44C3D}"/>
    <cellStyle name="Comma 4 2 2 4 5 3" xfId="6260" xr:uid="{00000000-0005-0000-0000-00003A080000}"/>
    <cellStyle name="Comma 4 2 2 4 5 3 2" xfId="14699" xr:uid="{52AD0763-994D-4EC1-A8DF-E7EEC6C73B52}"/>
    <cellStyle name="Comma 4 2 2 4 5 4" xfId="10481" xr:uid="{05E73EE1-034A-41D3-A763-056B556A4EA8}"/>
    <cellStyle name="Comma 4 2 2 4 6" xfId="2388" xr:uid="{00000000-0005-0000-0000-00003B080000}"/>
    <cellStyle name="Comma 4 2 2 4 6 2" xfId="6673" xr:uid="{00000000-0005-0000-0000-00003C080000}"/>
    <cellStyle name="Comma 4 2 2 4 6 2 2" xfId="15112" xr:uid="{414E72B9-29EF-4744-BFAF-6879620940A3}"/>
    <cellStyle name="Comma 4 2 2 4 6 3" xfId="10894" xr:uid="{A4DAC6B0-6866-4D3D-BAC7-55878F9EE274}"/>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959A9840-0567-4794-B422-C1ADCC053221}"/>
    <cellStyle name="Comma 4 2 2 4 8 3" xfId="11211" xr:uid="{5A927E10-F6C3-41E5-A361-48681E0713A2}"/>
    <cellStyle name="Comma 4 2 2 4 9" xfId="4607" xr:uid="{00000000-0005-0000-0000-000040080000}"/>
    <cellStyle name="Comma 4 2 2 4 9 2" xfId="13046" xr:uid="{B21A8F33-AD18-48F9-80B4-C991241E2521}"/>
    <cellStyle name="Comma 4 2 2 5" xfId="135" xr:uid="{00000000-0005-0000-0000-000041080000}"/>
    <cellStyle name="Comma 4 2 2 5 10" xfId="8829" xr:uid="{DE471CE6-ACC0-4574-ACDE-12185455BFA9}"/>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2ECD61F9-CEC9-48B1-8E5F-B3260C28C163}"/>
    <cellStyle name="Comma 4 2 2 5 2 2 3" xfId="11388" xr:uid="{9AC47ECE-D0A2-48A6-BB37-A26F4B807035}"/>
    <cellStyle name="Comma 4 2 2 5 2 3" xfId="5022" xr:uid="{00000000-0005-0000-0000-000045080000}"/>
    <cellStyle name="Comma 4 2 2 5 2 3 2" xfId="13461" xr:uid="{F5C2AC7C-861D-4167-8EE7-188EF1CEFCC1}"/>
    <cellStyle name="Comma 4 2 2 5 2 4" xfId="9243" xr:uid="{F6A527D0-4FF8-484A-BC63-328F56C04198}"/>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7B764856-46AE-4071-8BC3-0577DEB2E445}"/>
    <cellStyle name="Comma 4 2 2 5 3 2 3" xfId="11801" xr:uid="{33206809-4842-4D82-8622-55F37E00FF7E}"/>
    <cellStyle name="Comma 4 2 2 5 3 3" xfId="5435" xr:uid="{00000000-0005-0000-0000-000049080000}"/>
    <cellStyle name="Comma 4 2 2 5 3 3 2" xfId="13874" xr:uid="{3466E43A-D1AC-4EAF-A1AE-4319F2B9984B}"/>
    <cellStyle name="Comma 4 2 2 5 3 4" xfId="9656" xr:uid="{4CB2BB6E-03CE-4B35-96BB-275CE98A5F06}"/>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74D8F9BE-139B-4B18-818E-246F508FC0B0}"/>
    <cellStyle name="Comma 4 2 2 5 4 2 3" xfId="12214" xr:uid="{06DCBE42-1431-4865-B0B0-D4F0AE99C9AD}"/>
    <cellStyle name="Comma 4 2 2 5 4 3" xfId="5848" xr:uid="{00000000-0005-0000-0000-00004D080000}"/>
    <cellStyle name="Comma 4 2 2 5 4 3 2" xfId="14287" xr:uid="{8C44BEA4-7DBB-4BE9-890A-60672BB83098}"/>
    <cellStyle name="Comma 4 2 2 5 4 4" xfId="10069" xr:uid="{1805BA8E-7CC6-4F6F-AFA0-C230A64B2DA8}"/>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96EAA440-8381-494D-BD33-569A946A2219}"/>
    <cellStyle name="Comma 4 2 2 5 5 2 3" xfId="12627" xr:uid="{0D720711-17F3-4092-B2B9-A5D63D0338C0}"/>
    <cellStyle name="Comma 4 2 2 5 5 3" xfId="6261" xr:uid="{00000000-0005-0000-0000-000051080000}"/>
    <cellStyle name="Comma 4 2 2 5 5 3 2" xfId="14700" xr:uid="{406AFA90-C435-486E-8123-22B0444542B0}"/>
    <cellStyle name="Comma 4 2 2 5 5 4" xfId="10482" xr:uid="{DCD0C3D2-3C48-484F-B4EC-A28BC0699BDD}"/>
    <cellStyle name="Comma 4 2 2 5 6" xfId="2389" xr:uid="{00000000-0005-0000-0000-000052080000}"/>
    <cellStyle name="Comma 4 2 2 5 6 2" xfId="6674" xr:uid="{00000000-0005-0000-0000-000053080000}"/>
    <cellStyle name="Comma 4 2 2 5 6 2 2" xfId="15113" xr:uid="{0EED90DD-1E8A-435D-A46D-21313DC981B2}"/>
    <cellStyle name="Comma 4 2 2 5 6 3" xfId="10895" xr:uid="{264E061E-F66B-4B30-BE6C-10C7EBC314E1}"/>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BB15AF17-87A5-40C4-AFC0-244F50CFA6BC}"/>
    <cellStyle name="Comma 4 2 2 5 8 3" xfId="11212" xr:uid="{17C1E774-6AF8-4C16-BAEE-555D962F83DE}"/>
    <cellStyle name="Comma 4 2 2 5 9" xfId="4608" xr:uid="{00000000-0005-0000-0000-000057080000}"/>
    <cellStyle name="Comma 4 2 2 5 9 2" xfId="13047" xr:uid="{E206EBC8-7BA4-449A-A469-7C5420CD306B}"/>
    <cellStyle name="Comma 4 2 3" xfId="136" xr:uid="{00000000-0005-0000-0000-000058080000}"/>
    <cellStyle name="Comma 4 2 3 10" xfId="2768" xr:uid="{00000000-0005-0000-0000-000059080000}"/>
    <cellStyle name="Comma 4 2 3 10 2" xfId="6992" xr:uid="{00000000-0005-0000-0000-00005A080000}"/>
    <cellStyle name="Comma 4 2 3 10 2 2" xfId="15431" xr:uid="{587D34E4-4A60-4A3A-A1F8-07235DE3DD6D}"/>
    <cellStyle name="Comma 4 2 3 10 3" xfId="11213" xr:uid="{258638C7-6958-40C7-9F67-AA5C5953E5C4}"/>
    <cellStyle name="Comma 4 2 3 11" xfId="4609" xr:uid="{00000000-0005-0000-0000-00005B080000}"/>
    <cellStyle name="Comma 4 2 3 11 2" xfId="13048" xr:uid="{95408059-D589-4808-B7CA-4500CA0378D1}"/>
    <cellStyle name="Comma 4 2 3 12" xfId="8830" xr:uid="{AA86C441-4A2E-4492-91A2-DEA6B70C7615}"/>
    <cellStyle name="Comma 4 2 3 2" xfId="137" xr:uid="{00000000-0005-0000-0000-00005C080000}"/>
    <cellStyle name="Comma 4 2 3 2 10" xfId="4610" xr:uid="{00000000-0005-0000-0000-00005D080000}"/>
    <cellStyle name="Comma 4 2 3 2 10 2" xfId="13049" xr:uid="{8C11992C-6494-4AE6-A04C-140C0D0906A6}"/>
    <cellStyle name="Comma 4 2 3 2 11" xfId="8831" xr:uid="{499B70B8-D448-4252-A8FF-4F91C904E010}"/>
    <cellStyle name="Comma 4 2 3 2 2" xfId="138" xr:uid="{00000000-0005-0000-0000-00005E080000}"/>
    <cellStyle name="Comma 4 2 3 2 2 10" xfId="8832" xr:uid="{179B4AAE-F500-4546-82AF-2D3367F287DB}"/>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8143719E-8988-4F80-BCE7-4D2C3C5D6E84}"/>
    <cellStyle name="Comma 4 2 3 2 2 2 2 3" xfId="11391" xr:uid="{BF3C2102-ECA0-4AA8-B892-5D283DA277A4}"/>
    <cellStyle name="Comma 4 2 3 2 2 2 3" xfId="5025" xr:uid="{00000000-0005-0000-0000-000062080000}"/>
    <cellStyle name="Comma 4 2 3 2 2 2 3 2" xfId="13464" xr:uid="{47D5E9AF-8410-4529-8ADE-0E9D705C1435}"/>
    <cellStyle name="Comma 4 2 3 2 2 2 4" xfId="9246" xr:uid="{6642E016-3D3B-44E2-A2EC-EFDB0A4A55D4}"/>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04F50E38-FB1A-4FE2-B9B8-322E5E3D39EA}"/>
    <cellStyle name="Comma 4 2 3 2 2 3 2 3" xfId="11804" xr:uid="{3AD590D9-A31C-4C3F-B642-3EFA510093FB}"/>
    <cellStyle name="Comma 4 2 3 2 2 3 3" xfId="5438" xr:uid="{00000000-0005-0000-0000-000066080000}"/>
    <cellStyle name="Comma 4 2 3 2 2 3 3 2" xfId="13877" xr:uid="{32738180-B9C8-491C-9CAA-C812A36FAAB9}"/>
    <cellStyle name="Comma 4 2 3 2 2 3 4" xfId="9659" xr:uid="{9A82253C-A817-41E7-BF4B-03FFF1238E12}"/>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4B8027C7-6EE3-43F1-812E-7A7D5C2368A7}"/>
    <cellStyle name="Comma 4 2 3 2 2 4 2 3" xfId="12217" xr:uid="{BC9CA946-14BE-4907-82BF-E831081173BA}"/>
    <cellStyle name="Comma 4 2 3 2 2 4 3" xfId="5851" xr:uid="{00000000-0005-0000-0000-00006A080000}"/>
    <cellStyle name="Comma 4 2 3 2 2 4 3 2" xfId="14290" xr:uid="{155D55D7-02BE-45CF-BCAB-1EF90014628C}"/>
    <cellStyle name="Comma 4 2 3 2 2 4 4" xfId="10072" xr:uid="{87E9FA2E-BA02-431D-9C14-C6DCA3E01176}"/>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96551339-D810-48F1-AE29-4EF162CB1B6F}"/>
    <cellStyle name="Comma 4 2 3 2 2 5 2 3" xfId="12630" xr:uid="{4EA1D7CF-6F6D-490F-9DAD-41C0A95CCBCF}"/>
    <cellStyle name="Comma 4 2 3 2 2 5 3" xfId="6264" xr:uid="{00000000-0005-0000-0000-00006E080000}"/>
    <cellStyle name="Comma 4 2 3 2 2 5 3 2" xfId="14703" xr:uid="{4798C2EE-AF2E-4DBA-AD1F-FF343A0E01DB}"/>
    <cellStyle name="Comma 4 2 3 2 2 5 4" xfId="10485" xr:uid="{1C1D33B0-3A7D-40E0-AE8A-A30434A54CAD}"/>
    <cellStyle name="Comma 4 2 3 2 2 6" xfId="2392" xr:uid="{00000000-0005-0000-0000-00006F080000}"/>
    <cellStyle name="Comma 4 2 3 2 2 6 2" xfId="6677" xr:uid="{00000000-0005-0000-0000-000070080000}"/>
    <cellStyle name="Comma 4 2 3 2 2 6 2 2" xfId="15116" xr:uid="{025AA93D-97F8-4A64-86A6-0E8BD285E566}"/>
    <cellStyle name="Comma 4 2 3 2 2 6 3" xfId="10898" xr:uid="{61D75429-5AAD-4B45-BB6E-1D6280B68477}"/>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10A267A8-40C0-430D-AA0F-A92F4ED1BC75}"/>
    <cellStyle name="Comma 4 2 3 2 2 8 3" xfId="11215" xr:uid="{4B7B8E13-5496-425F-AE18-9996DAC486B4}"/>
    <cellStyle name="Comma 4 2 3 2 2 9" xfId="4611" xr:uid="{00000000-0005-0000-0000-000074080000}"/>
    <cellStyle name="Comma 4 2 3 2 2 9 2" xfId="13050" xr:uid="{046CBFA6-D4A2-4F47-B5AB-B902BE669C72}"/>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93316C1C-165C-4392-867F-630140EBCAD0}"/>
    <cellStyle name="Comma 4 2 3 2 3 2 3" xfId="11390" xr:uid="{F2E4FAC9-F383-42B0-9059-DD27DC2173AF}"/>
    <cellStyle name="Comma 4 2 3 2 3 3" xfId="5024" xr:uid="{00000000-0005-0000-0000-000078080000}"/>
    <cellStyle name="Comma 4 2 3 2 3 3 2" xfId="13463" xr:uid="{BB3191F3-BC98-406C-AC2A-E908180E0829}"/>
    <cellStyle name="Comma 4 2 3 2 3 4" xfId="9245" xr:uid="{006BF1F8-2976-41C5-8D17-6D0327070FE9}"/>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FE287023-D5A3-4AE1-B2C8-7BBFE1B02D10}"/>
    <cellStyle name="Comma 4 2 3 2 4 2 3" xfId="11803" xr:uid="{B2A55358-B8F0-411C-936A-811E881D3C2D}"/>
    <cellStyle name="Comma 4 2 3 2 4 3" xfId="5437" xr:uid="{00000000-0005-0000-0000-00007C080000}"/>
    <cellStyle name="Comma 4 2 3 2 4 3 2" xfId="13876" xr:uid="{9F3F0804-31AB-4803-A844-7FFB247C26A5}"/>
    <cellStyle name="Comma 4 2 3 2 4 4" xfId="9658" xr:uid="{67306795-93B9-4904-B506-41BA102C2AB0}"/>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8A1DB13D-8EA8-4E4C-B0BE-7B3C6DA5629A}"/>
    <cellStyle name="Comma 4 2 3 2 5 2 3" xfId="12216" xr:uid="{4EB0A1E2-D708-4577-9BE9-04E7AD065F8D}"/>
    <cellStyle name="Comma 4 2 3 2 5 3" xfId="5850" xr:uid="{00000000-0005-0000-0000-000080080000}"/>
    <cellStyle name="Comma 4 2 3 2 5 3 2" xfId="14289" xr:uid="{5F2BA4C6-EDE4-4FEA-B124-E1760B96B744}"/>
    <cellStyle name="Comma 4 2 3 2 5 4" xfId="10071" xr:uid="{D2A15F4F-6D5F-4BF3-9624-360956696484}"/>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AD851F4D-CAD4-45C2-B409-5486B4DF51CF}"/>
    <cellStyle name="Comma 4 2 3 2 6 2 3" xfId="12629" xr:uid="{24441EF0-73DA-414C-A041-DC15258691E4}"/>
    <cellStyle name="Comma 4 2 3 2 6 3" xfId="6263" xr:uid="{00000000-0005-0000-0000-000084080000}"/>
    <cellStyle name="Comma 4 2 3 2 6 3 2" xfId="14702" xr:uid="{6E03DC57-B369-4226-8760-05FDFBA8698C}"/>
    <cellStyle name="Comma 4 2 3 2 6 4" xfId="10484" xr:uid="{545AA9CD-DE2B-4178-A913-C05675423FF4}"/>
    <cellStyle name="Comma 4 2 3 2 7" xfId="2391" xr:uid="{00000000-0005-0000-0000-000085080000}"/>
    <cellStyle name="Comma 4 2 3 2 7 2" xfId="6676" xr:uid="{00000000-0005-0000-0000-000086080000}"/>
    <cellStyle name="Comma 4 2 3 2 7 2 2" xfId="15115" xr:uid="{B08A5ADC-F065-4B7E-9C08-B70A76323067}"/>
    <cellStyle name="Comma 4 2 3 2 7 3" xfId="10897" xr:uid="{F3C4451A-EE25-4427-87A8-CF664F580BC2}"/>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D57ED96A-F98B-446D-911E-AC3A6DF4D74D}"/>
    <cellStyle name="Comma 4 2 3 2 9 3" xfId="11214" xr:uid="{14F933A9-7464-445A-B8FD-57C0024800FF}"/>
    <cellStyle name="Comma 4 2 3 3" xfId="139" xr:uid="{00000000-0005-0000-0000-00008A080000}"/>
    <cellStyle name="Comma 4 2 3 3 10" xfId="8833" xr:uid="{7B9F79D0-7827-4672-9671-05268307298C}"/>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04CC5295-BE44-48A9-8ABA-83A360BC8653}"/>
    <cellStyle name="Comma 4 2 3 3 2 2 3" xfId="11392" xr:uid="{8340D17C-EEFA-4BFA-83B1-CE8568B42A45}"/>
    <cellStyle name="Comma 4 2 3 3 2 3" xfId="5026" xr:uid="{00000000-0005-0000-0000-00008E080000}"/>
    <cellStyle name="Comma 4 2 3 3 2 3 2" xfId="13465" xr:uid="{8AD2A381-0053-4E99-BCCF-7E0293C48F5F}"/>
    <cellStyle name="Comma 4 2 3 3 2 4" xfId="9247" xr:uid="{070B3D9D-CD73-4F38-B80A-317279C5245D}"/>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EBEA708D-5C5E-413D-9599-78A424E29A1C}"/>
    <cellStyle name="Comma 4 2 3 3 3 2 3" xfId="11805" xr:uid="{8F5E76E9-4F77-452D-8B16-0CD9A0A00F5A}"/>
    <cellStyle name="Comma 4 2 3 3 3 3" xfId="5439" xr:uid="{00000000-0005-0000-0000-000092080000}"/>
    <cellStyle name="Comma 4 2 3 3 3 3 2" xfId="13878" xr:uid="{7B467A3B-F428-4930-AAEE-ED1FED967878}"/>
    <cellStyle name="Comma 4 2 3 3 3 4" xfId="9660" xr:uid="{53DFE2A9-FB10-455B-9DE7-2F14D1045EEB}"/>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C36D8C72-7137-4952-B528-3D07DD99F1D6}"/>
    <cellStyle name="Comma 4 2 3 3 4 2 3" xfId="12218" xr:uid="{380CA461-A665-4280-B79A-9B04D3B10C71}"/>
    <cellStyle name="Comma 4 2 3 3 4 3" xfId="5852" xr:uid="{00000000-0005-0000-0000-000096080000}"/>
    <cellStyle name="Comma 4 2 3 3 4 3 2" xfId="14291" xr:uid="{A8B0A17C-5DFC-4420-800B-05C99EE36456}"/>
    <cellStyle name="Comma 4 2 3 3 4 4" xfId="10073" xr:uid="{BC9CE90B-381A-42F6-A66E-09B8047223DD}"/>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EB1A68D9-4A52-4415-A113-0B624E1C0C4D}"/>
    <cellStyle name="Comma 4 2 3 3 5 2 3" xfId="12631" xr:uid="{F6E6FCF0-BC6F-403C-925D-A02FDEFE087B}"/>
    <cellStyle name="Comma 4 2 3 3 5 3" xfId="6265" xr:uid="{00000000-0005-0000-0000-00009A080000}"/>
    <cellStyle name="Comma 4 2 3 3 5 3 2" xfId="14704" xr:uid="{DDA8D535-6C8B-4BB6-9171-D955D0FDF771}"/>
    <cellStyle name="Comma 4 2 3 3 5 4" xfId="10486" xr:uid="{EBF2E319-56C8-4494-9DB9-C1AEE09B871A}"/>
    <cellStyle name="Comma 4 2 3 3 6" xfId="2393" xr:uid="{00000000-0005-0000-0000-00009B080000}"/>
    <cellStyle name="Comma 4 2 3 3 6 2" xfId="6678" xr:uid="{00000000-0005-0000-0000-00009C080000}"/>
    <cellStyle name="Comma 4 2 3 3 6 2 2" xfId="15117" xr:uid="{C50C97FE-9863-45BB-9E43-BA1508F0C104}"/>
    <cellStyle name="Comma 4 2 3 3 6 3" xfId="10899" xr:uid="{6C29EC07-C0B3-409D-BA43-AAE8EC7686E6}"/>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CAAFA8F2-14FD-4CE9-ADEB-08DD8A81477B}"/>
    <cellStyle name="Comma 4 2 3 3 8 3" xfId="11216" xr:uid="{E36F46C8-7FB4-4BE0-807A-074713B39611}"/>
    <cellStyle name="Comma 4 2 3 3 9" xfId="4612" xr:uid="{00000000-0005-0000-0000-0000A0080000}"/>
    <cellStyle name="Comma 4 2 3 3 9 2" xfId="13051" xr:uid="{AF5F22FC-AA90-4ABE-8B47-AF3505560493}"/>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01247A9C-D62A-4E71-BF8D-B65565564979}"/>
    <cellStyle name="Comma 4 2 3 4 2 3" xfId="11389" xr:uid="{A5937D7F-06C8-4567-858D-A66D4476DA73}"/>
    <cellStyle name="Comma 4 2 3 4 3" xfId="5023" xr:uid="{00000000-0005-0000-0000-0000A4080000}"/>
    <cellStyle name="Comma 4 2 3 4 3 2" xfId="13462" xr:uid="{1AED72DC-4371-45D0-97AA-A0235B9421C5}"/>
    <cellStyle name="Comma 4 2 3 4 4" xfId="9244" xr:uid="{AC06E7A3-6A3B-4BFB-B667-87B6ABD70EAC}"/>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1FD13A06-7F52-4BD3-A716-F6267D8DF113}"/>
    <cellStyle name="Comma 4 2 3 5 2 3" xfId="11802" xr:uid="{F5BD7D8F-D6F1-4350-8CD1-B860D6E95C6D}"/>
    <cellStyle name="Comma 4 2 3 5 3" xfId="5436" xr:uid="{00000000-0005-0000-0000-0000A8080000}"/>
    <cellStyle name="Comma 4 2 3 5 3 2" xfId="13875" xr:uid="{E1DA12EE-D61A-4F39-8A30-3F81D500015C}"/>
    <cellStyle name="Comma 4 2 3 5 4" xfId="9657" xr:uid="{E44CB921-BD8F-4A21-B124-C2B539D3B5C4}"/>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EBB87A5D-4BAE-4B68-975D-179168D4C711}"/>
    <cellStyle name="Comma 4 2 3 6 2 3" xfId="12215" xr:uid="{8CB3FAE3-6183-4F59-8CAB-F1E0F1D2E851}"/>
    <cellStyle name="Comma 4 2 3 6 3" xfId="5849" xr:uid="{00000000-0005-0000-0000-0000AC080000}"/>
    <cellStyle name="Comma 4 2 3 6 3 2" xfId="14288" xr:uid="{B648C9D1-3F8F-4A55-B0DC-541786B8ADB1}"/>
    <cellStyle name="Comma 4 2 3 6 4" xfId="10070" xr:uid="{E6846EBC-DA65-4E6E-96DE-C5F6D11F9252}"/>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EA365547-CEEC-4836-ADA4-CAC6F8360F2B}"/>
    <cellStyle name="Comma 4 2 3 7 2 3" xfId="12628" xr:uid="{C58BEE23-F7DF-41A4-93E2-862E02EFA9F4}"/>
    <cellStyle name="Comma 4 2 3 7 3" xfId="6262" xr:uid="{00000000-0005-0000-0000-0000B0080000}"/>
    <cellStyle name="Comma 4 2 3 7 3 2" xfId="14701" xr:uid="{A2934CD7-FAB6-42D7-A93F-E112AEDBCABC}"/>
    <cellStyle name="Comma 4 2 3 7 4" xfId="10483" xr:uid="{1114258F-A495-424A-8231-E2482C1528E0}"/>
    <cellStyle name="Comma 4 2 3 8" xfId="2390" xr:uid="{00000000-0005-0000-0000-0000B1080000}"/>
    <cellStyle name="Comma 4 2 3 8 2" xfId="6675" xr:uid="{00000000-0005-0000-0000-0000B2080000}"/>
    <cellStyle name="Comma 4 2 3 8 2 2" xfId="15114" xr:uid="{FE2C5173-5DC9-4803-A4CC-C45C672F33CF}"/>
    <cellStyle name="Comma 4 2 3 8 3" xfId="10896" xr:uid="{FF78D53E-484C-4488-8662-9B313E3B52B9}"/>
    <cellStyle name="Comma 4 2 3 9" xfId="2373" xr:uid="{00000000-0005-0000-0000-0000B3080000}"/>
    <cellStyle name="Comma 4 2 4" xfId="140" xr:uid="{00000000-0005-0000-0000-0000B4080000}"/>
    <cellStyle name="Comma 4 2 4 10" xfId="4613" xr:uid="{00000000-0005-0000-0000-0000B5080000}"/>
    <cellStyle name="Comma 4 2 4 10 2" xfId="13052" xr:uid="{9EF376E6-AB1E-4FCC-B007-90C60409FA19}"/>
    <cellStyle name="Comma 4 2 4 11" xfId="8834" xr:uid="{53E94A3B-378F-4AFD-BD5F-7B753CAD1488}"/>
    <cellStyle name="Comma 4 2 4 2" xfId="141" xr:uid="{00000000-0005-0000-0000-0000B6080000}"/>
    <cellStyle name="Comma 4 2 4 2 10" xfId="8835" xr:uid="{1020C2F3-BB0F-47A1-B824-A03F775C0F6C}"/>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D51D3F5B-B3F3-484A-91D4-7E558C78A57F}"/>
    <cellStyle name="Comma 4 2 4 2 2 2 3" xfId="11394" xr:uid="{CCE0EF69-E32A-49E7-AA3C-A89A017BB509}"/>
    <cellStyle name="Comma 4 2 4 2 2 3" xfId="5028" xr:uid="{00000000-0005-0000-0000-0000BA080000}"/>
    <cellStyle name="Comma 4 2 4 2 2 3 2" xfId="13467" xr:uid="{072D4DF4-7CA8-4175-B69F-2E0AD5145BF6}"/>
    <cellStyle name="Comma 4 2 4 2 2 4" xfId="9249" xr:uid="{897206AC-7B3E-4591-ADF3-E3DA65893392}"/>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91291E90-E625-4750-9DB2-AFCBE8A1C367}"/>
    <cellStyle name="Comma 4 2 4 2 3 2 3" xfId="11807" xr:uid="{582F7971-694F-4045-9C55-6D950F41DEC7}"/>
    <cellStyle name="Comma 4 2 4 2 3 3" xfId="5441" xr:uid="{00000000-0005-0000-0000-0000BE080000}"/>
    <cellStyle name="Comma 4 2 4 2 3 3 2" xfId="13880" xr:uid="{789CF6AD-6239-4F55-80F7-FCCE49D31B1B}"/>
    <cellStyle name="Comma 4 2 4 2 3 4" xfId="9662" xr:uid="{5C12231D-AABF-4A6A-9894-E015326274A2}"/>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00842014-B87D-449A-BB6C-58E7B544EC6F}"/>
    <cellStyle name="Comma 4 2 4 2 4 2 3" xfId="12220" xr:uid="{E86D319E-2BD8-4FAD-AECE-CE9B447578F2}"/>
    <cellStyle name="Comma 4 2 4 2 4 3" xfId="5854" xr:uid="{00000000-0005-0000-0000-0000C2080000}"/>
    <cellStyle name="Comma 4 2 4 2 4 3 2" xfId="14293" xr:uid="{AA4038A3-A558-4CAF-93F8-1EAF72BD137C}"/>
    <cellStyle name="Comma 4 2 4 2 4 4" xfId="10075" xr:uid="{2099388D-D938-44B8-9872-A1C0F8DB476C}"/>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5FC3AF5A-216B-4AA5-AEFC-C137061F037E}"/>
    <cellStyle name="Comma 4 2 4 2 5 2 3" xfId="12633" xr:uid="{9855F80D-4E31-4A0E-BE80-16722AAE1122}"/>
    <cellStyle name="Comma 4 2 4 2 5 3" xfId="6267" xr:uid="{00000000-0005-0000-0000-0000C6080000}"/>
    <cellStyle name="Comma 4 2 4 2 5 3 2" xfId="14706" xr:uid="{32932DC6-80E0-4EAD-975E-B3092BB2D45F}"/>
    <cellStyle name="Comma 4 2 4 2 5 4" xfId="10488" xr:uid="{8DA107E9-6E7C-44B7-94C1-35E744ED36BC}"/>
    <cellStyle name="Comma 4 2 4 2 6" xfId="2395" xr:uid="{00000000-0005-0000-0000-0000C7080000}"/>
    <cellStyle name="Comma 4 2 4 2 6 2" xfId="6680" xr:uid="{00000000-0005-0000-0000-0000C8080000}"/>
    <cellStyle name="Comma 4 2 4 2 6 2 2" xfId="15119" xr:uid="{47DC4574-2286-4DCD-92D6-4AC3AC24C350}"/>
    <cellStyle name="Comma 4 2 4 2 6 3" xfId="10901" xr:uid="{BA32ADAD-03A2-4209-87BD-2DD8F92EEFBB}"/>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09B41142-0559-4FB4-B292-E148B71689F1}"/>
    <cellStyle name="Comma 4 2 4 2 8 3" xfId="11218" xr:uid="{253AECCB-8F40-4F22-BE7A-7527B699079F}"/>
    <cellStyle name="Comma 4 2 4 2 9" xfId="4614" xr:uid="{00000000-0005-0000-0000-0000CC080000}"/>
    <cellStyle name="Comma 4 2 4 2 9 2" xfId="13053" xr:uid="{EDA9CDA0-1CDE-4924-9652-9229BA2AFA7C}"/>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F6EFE175-706F-44D5-B5F3-2BA8415CB3B9}"/>
    <cellStyle name="Comma 4 2 4 3 2 3" xfId="11393" xr:uid="{B29AC51B-CE1E-4639-A82D-2DB088BD29F2}"/>
    <cellStyle name="Comma 4 2 4 3 3" xfId="5027" xr:uid="{00000000-0005-0000-0000-0000D0080000}"/>
    <cellStyle name="Comma 4 2 4 3 3 2" xfId="13466" xr:uid="{CED9E1F8-B2A3-40FC-947C-5C4B11ADAA88}"/>
    <cellStyle name="Comma 4 2 4 3 4" xfId="9248" xr:uid="{F8C6D6E6-B964-41BD-800A-49516170DA3F}"/>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FA7E7AD5-9DD7-4B1F-BF2C-6649A90F5D64}"/>
    <cellStyle name="Comma 4 2 4 4 2 3" xfId="11806" xr:uid="{7D729E26-616F-466D-B2D7-30F0B168E38C}"/>
    <cellStyle name="Comma 4 2 4 4 3" xfId="5440" xr:uid="{00000000-0005-0000-0000-0000D4080000}"/>
    <cellStyle name="Comma 4 2 4 4 3 2" xfId="13879" xr:uid="{B3E8D53C-38BA-4A8D-AAC3-9D0EB6227C3D}"/>
    <cellStyle name="Comma 4 2 4 4 4" xfId="9661" xr:uid="{C8721FFE-2782-4E4C-87DA-B8B67606F5E8}"/>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710A7930-E2F4-4737-A2EA-9CED4F1B0E24}"/>
    <cellStyle name="Comma 4 2 4 5 2 3" xfId="12219" xr:uid="{96769116-10D7-42AC-B58F-9F308212AA22}"/>
    <cellStyle name="Comma 4 2 4 5 3" xfId="5853" xr:uid="{00000000-0005-0000-0000-0000D8080000}"/>
    <cellStyle name="Comma 4 2 4 5 3 2" xfId="14292" xr:uid="{66773081-866A-4C82-BD53-D2A381615074}"/>
    <cellStyle name="Comma 4 2 4 5 4" xfId="10074" xr:uid="{A5915728-A3D5-497B-B9BE-9B1719408AA2}"/>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63A3EFB4-C52F-4908-81D3-C3E3C69CAFCA}"/>
    <cellStyle name="Comma 4 2 4 6 2 3" xfId="12632" xr:uid="{5281B7CC-EF5C-47AD-86EF-4234469B4B4A}"/>
    <cellStyle name="Comma 4 2 4 6 3" xfId="6266" xr:uid="{00000000-0005-0000-0000-0000DC080000}"/>
    <cellStyle name="Comma 4 2 4 6 3 2" xfId="14705" xr:uid="{C482DBFA-3F61-4AA4-BCAC-01CD8CFCC7A5}"/>
    <cellStyle name="Comma 4 2 4 6 4" xfId="10487" xr:uid="{C8AC3B11-168C-47BF-8386-347A0F579E3C}"/>
    <cellStyle name="Comma 4 2 4 7" xfId="2394" xr:uid="{00000000-0005-0000-0000-0000DD080000}"/>
    <cellStyle name="Comma 4 2 4 7 2" xfId="6679" xr:uid="{00000000-0005-0000-0000-0000DE080000}"/>
    <cellStyle name="Comma 4 2 4 7 2 2" xfId="15118" xr:uid="{CE72D463-9E5C-45C0-91CC-38872B5D75A6}"/>
    <cellStyle name="Comma 4 2 4 7 3" xfId="10900" xr:uid="{57F559BE-4D20-4E6B-9B8C-9224659B0AFE}"/>
    <cellStyle name="Comma 4 2 4 8" xfId="2369" xr:uid="{00000000-0005-0000-0000-0000DF080000}"/>
    <cellStyle name="Comma 4 2 4 9" xfId="2772" xr:uid="{00000000-0005-0000-0000-0000E0080000}"/>
    <cellStyle name="Comma 4 2 4 9 2" xfId="6996" xr:uid="{00000000-0005-0000-0000-0000E1080000}"/>
    <cellStyle name="Comma 4 2 4 9 2 2" xfId="15435" xr:uid="{B37E069C-0025-429A-A05F-2E5911EDE711}"/>
    <cellStyle name="Comma 4 2 4 9 3" xfId="11217" xr:uid="{7881A62D-1F52-4060-B076-E4938611FB34}"/>
    <cellStyle name="Comma 4 2 5" xfId="142" xr:uid="{00000000-0005-0000-0000-0000E2080000}"/>
    <cellStyle name="Comma 4 2 5 10" xfId="8836" xr:uid="{31D35D58-B8AD-4CDA-B6E6-5E35C389DF95}"/>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DDD0C667-284C-4B4F-8644-E3494D068CD8}"/>
    <cellStyle name="Comma 4 2 5 2 2 3" xfId="11395" xr:uid="{04C88946-5F66-43CE-97E4-4B4725A7A75B}"/>
    <cellStyle name="Comma 4 2 5 2 3" xfId="5029" xr:uid="{00000000-0005-0000-0000-0000E6080000}"/>
    <cellStyle name="Comma 4 2 5 2 3 2" xfId="13468" xr:uid="{92DC40F9-F3B6-45B3-BEB0-174CE9D6BCB0}"/>
    <cellStyle name="Comma 4 2 5 2 4" xfId="9250" xr:uid="{D4B6E1C1-1E16-457B-808F-13AF0D826FDD}"/>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F328FDB7-0F55-4D4A-809E-A6C962866781}"/>
    <cellStyle name="Comma 4 2 5 3 2 3" xfId="11808" xr:uid="{4AAFC49B-4400-4223-B16B-42CD201D7685}"/>
    <cellStyle name="Comma 4 2 5 3 3" xfId="5442" xr:uid="{00000000-0005-0000-0000-0000EA080000}"/>
    <cellStyle name="Comma 4 2 5 3 3 2" xfId="13881" xr:uid="{48692DCE-B56E-4086-B7B0-9CD3F7A98645}"/>
    <cellStyle name="Comma 4 2 5 3 4" xfId="9663" xr:uid="{DE9C01E0-881A-46CB-86E9-CA183B553D58}"/>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92B148B7-6C90-43B7-BBC4-B27A3AACB24F}"/>
    <cellStyle name="Comma 4 2 5 4 2 3" xfId="12221" xr:uid="{AC255797-3121-4E94-B33E-71CEF0229286}"/>
    <cellStyle name="Comma 4 2 5 4 3" xfId="5855" xr:uid="{00000000-0005-0000-0000-0000EE080000}"/>
    <cellStyle name="Comma 4 2 5 4 3 2" xfId="14294" xr:uid="{86F0BAF3-2646-40CB-A352-EC5323F665E6}"/>
    <cellStyle name="Comma 4 2 5 4 4" xfId="10076" xr:uid="{D9321E8E-94D8-4EDF-942E-3E90161C4213}"/>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48861EA7-8275-4AA4-94D2-13193B1487CC}"/>
    <cellStyle name="Comma 4 2 5 5 2 3" xfId="12634" xr:uid="{DDC7958F-37BB-463E-8D22-7DE920FD2E66}"/>
    <cellStyle name="Comma 4 2 5 5 3" xfId="6268" xr:uid="{00000000-0005-0000-0000-0000F2080000}"/>
    <cellStyle name="Comma 4 2 5 5 3 2" xfId="14707" xr:uid="{8062003E-3999-4285-A775-2F4A6DB31F02}"/>
    <cellStyle name="Comma 4 2 5 5 4" xfId="10489" xr:uid="{C6F9B14F-22BC-4F50-A639-C741FD05449B}"/>
    <cellStyle name="Comma 4 2 5 6" xfId="2396" xr:uid="{00000000-0005-0000-0000-0000F3080000}"/>
    <cellStyle name="Comma 4 2 5 6 2" xfId="6681" xr:uid="{00000000-0005-0000-0000-0000F4080000}"/>
    <cellStyle name="Comma 4 2 5 6 2 2" xfId="15120" xr:uid="{33C8354A-38D3-485C-AE9A-0311711F8694}"/>
    <cellStyle name="Comma 4 2 5 6 3" xfId="10902" xr:uid="{63DABF62-B953-4B18-8E9F-BE48CAF4CE2A}"/>
    <cellStyle name="Comma 4 2 5 7" xfId="2367" xr:uid="{00000000-0005-0000-0000-0000F5080000}"/>
    <cellStyle name="Comma 4 2 5 8" xfId="2774" xr:uid="{00000000-0005-0000-0000-0000F6080000}"/>
    <cellStyle name="Comma 4 2 5 8 2" xfId="6998" xr:uid="{00000000-0005-0000-0000-0000F7080000}"/>
    <cellStyle name="Comma 4 2 5 8 2 2" xfId="15437" xr:uid="{BBB9B20F-9F1A-41E8-8573-8958200B02BE}"/>
    <cellStyle name="Comma 4 2 5 8 3" xfId="11219" xr:uid="{C50296D1-DA66-4238-AAA3-3568ECFF2443}"/>
    <cellStyle name="Comma 4 2 5 9" xfId="4615" xr:uid="{00000000-0005-0000-0000-0000F8080000}"/>
    <cellStyle name="Comma 4 2 5 9 2" xfId="13054" xr:uid="{BC9EB1DC-B46F-4358-B7EE-7143CB16A9E0}"/>
    <cellStyle name="Comma 4 2 6" xfId="143" xr:uid="{00000000-0005-0000-0000-0000F9080000}"/>
    <cellStyle name="Comma 4 2 6 10" xfId="8837" xr:uid="{6B7D03B6-C35B-4DCA-9DEC-2E3A94188116}"/>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73121F40-B183-4021-94C3-77B15F9F0394}"/>
    <cellStyle name="Comma 4 2 6 2 2 3" xfId="11396" xr:uid="{933DFB11-1748-4EE2-B910-63B6773A9CC7}"/>
    <cellStyle name="Comma 4 2 6 2 3" xfId="5030" xr:uid="{00000000-0005-0000-0000-0000FD080000}"/>
    <cellStyle name="Comma 4 2 6 2 3 2" xfId="13469" xr:uid="{5C0C2CF5-E5A0-49F5-9FD3-790BA227C553}"/>
    <cellStyle name="Comma 4 2 6 2 4" xfId="9251" xr:uid="{8BB022A2-B9C2-40D4-BBC4-59357F20A48B}"/>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BAD4494D-F28C-4B7E-A3EE-033148CC9FEC}"/>
    <cellStyle name="Comma 4 2 6 3 2 3" xfId="11809" xr:uid="{F9C5A2D1-63D3-428B-BCE3-3374A01B0BBA}"/>
    <cellStyle name="Comma 4 2 6 3 3" xfId="5443" xr:uid="{00000000-0005-0000-0000-000001090000}"/>
    <cellStyle name="Comma 4 2 6 3 3 2" xfId="13882" xr:uid="{04967BD3-3F04-45F0-8A53-EE0A59B0EC7B}"/>
    <cellStyle name="Comma 4 2 6 3 4" xfId="9664" xr:uid="{27A34945-E6CB-4213-9647-8A5D75E991E5}"/>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6062AD99-B5F5-4031-B342-E92E4E6617C4}"/>
    <cellStyle name="Comma 4 2 6 4 2 3" xfId="12222" xr:uid="{6D43E175-942E-4181-9C49-438989572F2E}"/>
    <cellStyle name="Comma 4 2 6 4 3" xfId="5856" xr:uid="{00000000-0005-0000-0000-000005090000}"/>
    <cellStyle name="Comma 4 2 6 4 3 2" xfId="14295" xr:uid="{964851C1-D8C5-4ACC-8939-C4CF3010D6AB}"/>
    <cellStyle name="Comma 4 2 6 4 4" xfId="10077" xr:uid="{75B43996-AD5A-4F70-8B3E-1C9F1CC09E08}"/>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D98C7675-AA5F-4306-97F7-EA1D123FBB18}"/>
    <cellStyle name="Comma 4 2 6 5 2 3" xfId="12635" xr:uid="{FCEAE98B-5B34-4C42-9810-C7CE6E450F7D}"/>
    <cellStyle name="Comma 4 2 6 5 3" xfId="6269" xr:uid="{00000000-0005-0000-0000-000009090000}"/>
    <cellStyle name="Comma 4 2 6 5 3 2" xfId="14708" xr:uid="{5474FF86-AE0A-4C27-8443-6C8C91DE751A}"/>
    <cellStyle name="Comma 4 2 6 5 4" xfId="10490" xr:uid="{3BA12406-E4F9-450D-968C-F1E77D4FCB2D}"/>
    <cellStyle name="Comma 4 2 6 6" xfId="2397" xr:uid="{00000000-0005-0000-0000-00000A090000}"/>
    <cellStyle name="Comma 4 2 6 6 2" xfId="6682" xr:uid="{00000000-0005-0000-0000-00000B090000}"/>
    <cellStyle name="Comma 4 2 6 6 2 2" xfId="15121" xr:uid="{2CABB243-AA58-4390-B707-F36674A8D241}"/>
    <cellStyle name="Comma 4 2 6 6 3" xfId="10903" xr:uid="{81ED1660-E3FE-43CC-ADC9-D6D338EA3E9F}"/>
    <cellStyle name="Comma 4 2 6 7" xfId="2366" xr:uid="{00000000-0005-0000-0000-00000C090000}"/>
    <cellStyle name="Comma 4 2 6 8" xfId="2775" xr:uid="{00000000-0005-0000-0000-00000D090000}"/>
    <cellStyle name="Comma 4 2 6 8 2" xfId="6999" xr:uid="{00000000-0005-0000-0000-00000E090000}"/>
    <cellStyle name="Comma 4 2 6 8 2 2" xfId="15438" xr:uid="{B239713F-1097-4E70-93DA-49EA9621E049}"/>
    <cellStyle name="Comma 4 2 6 8 3" xfId="11220" xr:uid="{307A33D7-F534-490B-9AAA-414BB6DBF31E}"/>
    <cellStyle name="Comma 4 2 6 9" xfId="4616" xr:uid="{00000000-0005-0000-0000-00000F090000}"/>
    <cellStyle name="Comma 4 2 6 9 2" xfId="13055" xr:uid="{AFE599D5-6A5C-49C2-8C50-4377B47418B2}"/>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7765275A-FFB8-4456-8D1A-AB0F264E1254}"/>
    <cellStyle name="Comma 4 3 2 10 3" xfId="11221" xr:uid="{F5E644DC-391E-4E44-9234-57CD4C27BF3A}"/>
    <cellStyle name="Comma 4 3 2 11" xfId="4617" xr:uid="{00000000-0005-0000-0000-000014090000}"/>
    <cellStyle name="Comma 4 3 2 11 2" xfId="13056" xr:uid="{98912922-73FA-4AEA-B95B-19AF7527D642}"/>
    <cellStyle name="Comma 4 3 2 12" xfId="8838" xr:uid="{B569667C-53D8-48BC-BBC0-57AB74C88A00}"/>
    <cellStyle name="Comma 4 3 2 2" xfId="146" xr:uid="{00000000-0005-0000-0000-000015090000}"/>
    <cellStyle name="Comma 4 3 2 2 10" xfId="4618" xr:uid="{00000000-0005-0000-0000-000016090000}"/>
    <cellStyle name="Comma 4 3 2 2 10 2" xfId="13057" xr:uid="{DF5F518A-42D6-45B6-B62C-D8B8A5F1A7D3}"/>
    <cellStyle name="Comma 4 3 2 2 11" xfId="8839" xr:uid="{7A51E979-B286-41FE-ABDA-76B18979A777}"/>
    <cellStyle name="Comma 4 3 2 2 2" xfId="147" xr:uid="{00000000-0005-0000-0000-000017090000}"/>
    <cellStyle name="Comma 4 3 2 2 2 10" xfId="8840" xr:uid="{E8233118-C2A4-4844-B385-A73BBDB18819}"/>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D7C65ED7-6A52-427B-A7CF-830BB301739C}"/>
    <cellStyle name="Comma 4 3 2 2 2 2 2 3" xfId="11399" xr:uid="{F25E567F-C054-4A12-9344-60BD325A83D8}"/>
    <cellStyle name="Comma 4 3 2 2 2 2 3" xfId="5033" xr:uid="{00000000-0005-0000-0000-00001B090000}"/>
    <cellStyle name="Comma 4 3 2 2 2 2 3 2" xfId="13472" xr:uid="{3A9C72E9-EB8F-48F1-8BB7-835BC64E5A14}"/>
    <cellStyle name="Comma 4 3 2 2 2 2 4" xfId="9254" xr:uid="{9182FBB5-206D-48E9-A511-77DC01F2F1C9}"/>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6FB964F1-BE1D-4317-AC60-8274B4475A0B}"/>
    <cellStyle name="Comma 4 3 2 2 2 3 2 3" xfId="11812" xr:uid="{2EC18587-61D2-49D9-92D9-148CE9570C54}"/>
    <cellStyle name="Comma 4 3 2 2 2 3 3" xfId="5446" xr:uid="{00000000-0005-0000-0000-00001F090000}"/>
    <cellStyle name="Comma 4 3 2 2 2 3 3 2" xfId="13885" xr:uid="{ED93425A-0039-4841-85B2-E6D964028C5E}"/>
    <cellStyle name="Comma 4 3 2 2 2 3 4" xfId="9667" xr:uid="{96A36C8C-453B-4571-BEEE-B1ED82316A6C}"/>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B52E3A00-1770-4D1E-B6F2-3AF9F97ACFD6}"/>
    <cellStyle name="Comma 4 3 2 2 2 4 2 3" xfId="12225" xr:uid="{D8111D64-121A-40EE-8A37-735BA9AE6FFA}"/>
    <cellStyle name="Comma 4 3 2 2 2 4 3" xfId="5859" xr:uid="{00000000-0005-0000-0000-000023090000}"/>
    <cellStyle name="Comma 4 3 2 2 2 4 3 2" xfId="14298" xr:uid="{E2EE34C2-CCF5-49EB-82F9-1BCE6984E714}"/>
    <cellStyle name="Comma 4 3 2 2 2 4 4" xfId="10080" xr:uid="{2A9A1982-8974-4F11-9D0E-062BEE238057}"/>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B45EAF22-4E25-4658-B368-8D72222B090D}"/>
    <cellStyle name="Comma 4 3 2 2 2 5 2 3" xfId="12638" xr:uid="{D8464813-66C3-4290-8F7E-5B023F637FA2}"/>
    <cellStyle name="Comma 4 3 2 2 2 5 3" xfId="6272" xr:uid="{00000000-0005-0000-0000-000027090000}"/>
    <cellStyle name="Comma 4 3 2 2 2 5 3 2" xfId="14711" xr:uid="{69A1B8AA-1372-45C7-A6A2-F456168274FC}"/>
    <cellStyle name="Comma 4 3 2 2 2 5 4" xfId="10493" xr:uid="{D8787DFF-4861-4A4F-82A6-EAB6241FB2A5}"/>
    <cellStyle name="Comma 4 3 2 2 2 6" xfId="2400" xr:uid="{00000000-0005-0000-0000-000028090000}"/>
    <cellStyle name="Comma 4 3 2 2 2 6 2" xfId="6685" xr:uid="{00000000-0005-0000-0000-000029090000}"/>
    <cellStyle name="Comma 4 3 2 2 2 6 2 2" xfId="15124" xr:uid="{C4EABB23-B55D-4BFD-954B-9ACFC4DFC0A4}"/>
    <cellStyle name="Comma 4 3 2 2 2 6 3" xfId="10906" xr:uid="{DCD4450A-993F-416D-B67B-9D4C24EB5DA5}"/>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620F4B6B-61F2-458C-AA9E-BEEED1671BC5}"/>
    <cellStyle name="Comma 4 3 2 2 2 8 3" xfId="11223" xr:uid="{881D7481-EEA8-4F55-B51B-E73C0A8D8B20}"/>
    <cellStyle name="Comma 4 3 2 2 2 9" xfId="4619" xr:uid="{00000000-0005-0000-0000-00002D090000}"/>
    <cellStyle name="Comma 4 3 2 2 2 9 2" xfId="13058" xr:uid="{57D8F44A-F1D1-46CE-803A-60753F2D4A54}"/>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992D8A4D-A0CD-456F-85D6-469BB87C0864}"/>
    <cellStyle name="Comma 4 3 2 2 3 2 3" xfId="11398" xr:uid="{BA91C69F-F4F2-4F78-848A-7E068341BECC}"/>
    <cellStyle name="Comma 4 3 2 2 3 3" xfId="5032" xr:uid="{00000000-0005-0000-0000-000031090000}"/>
    <cellStyle name="Comma 4 3 2 2 3 3 2" xfId="13471" xr:uid="{9200E210-D7E5-4AC3-A3C7-C3FA68F33B3D}"/>
    <cellStyle name="Comma 4 3 2 2 3 4" xfId="9253" xr:uid="{B1D7D64D-C4F9-4CF1-9112-62EE9686A7BD}"/>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6DFA5F17-7F98-4849-A464-9C3CFF6BF638}"/>
    <cellStyle name="Comma 4 3 2 2 4 2 3" xfId="11811" xr:uid="{4A2A7B62-E6F5-4579-ACA3-25C41304855B}"/>
    <cellStyle name="Comma 4 3 2 2 4 3" xfId="5445" xr:uid="{00000000-0005-0000-0000-000035090000}"/>
    <cellStyle name="Comma 4 3 2 2 4 3 2" xfId="13884" xr:uid="{6160A7D1-E2A2-4AFC-AE18-619C8DEFCA97}"/>
    <cellStyle name="Comma 4 3 2 2 4 4" xfId="9666" xr:uid="{07022369-D5AB-47CB-9BBE-C1A210D55B3A}"/>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9DB18731-554A-4059-B4C6-8A1F198483E0}"/>
    <cellStyle name="Comma 4 3 2 2 5 2 3" xfId="12224" xr:uid="{118114FD-104E-4464-BBC4-FB6B068A92A9}"/>
    <cellStyle name="Comma 4 3 2 2 5 3" xfId="5858" xr:uid="{00000000-0005-0000-0000-000039090000}"/>
    <cellStyle name="Comma 4 3 2 2 5 3 2" xfId="14297" xr:uid="{564CB8CB-B3D5-4275-BA25-59CAEC988DBA}"/>
    <cellStyle name="Comma 4 3 2 2 5 4" xfId="10079" xr:uid="{95C06949-B61D-4126-88C7-A8715B56478A}"/>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35B81C6D-4F64-4602-BE68-1DCA849C2637}"/>
    <cellStyle name="Comma 4 3 2 2 6 2 3" xfId="12637" xr:uid="{5655B1DD-14CC-4535-9A84-3783BCC1DB5A}"/>
    <cellStyle name="Comma 4 3 2 2 6 3" xfId="6271" xr:uid="{00000000-0005-0000-0000-00003D090000}"/>
    <cellStyle name="Comma 4 3 2 2 6 3 2" xfId="14710" xr:uid="{C254AB5B-F97C-4CE3-97E4-59863A41BA00}"/>
    <cellStyle name="Comma 4 3 2 2 6 4" xfId="10492" xr:uid="{2BEB03E8-07FE-48C9-8AAF-223E7C66C880}"/>
    <cellStyle name="Comma 4 3 2 2 7" xfId="2399" xr:uid="{00000000-0005-0000-0000-00003E090000}"/>
    <cellStyle name="Comma 4 3 2 2 7 2" xfId="6684" xr:uid="{00000000-0005-0000-0000-00003F090000}"/>
    <cellStyle name="Comma 4 3 2 2 7 2 2" xfId="15123" xr:uid="{7346CEEE-939E-4504-B941-9128D99D6225}"/>
    <cellStyle name="Comma 4 3 2 2 7 3" xfId="10905" xr:uid="{8696A3E5-BA02-49D9-81AE-B14061C73C94}"/>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A38A24A0-947B-48CF-A2C6-8A4E04E05CCF}"/>
    <cellStyle name="Comma 4 3 2 2 9 3" xfId="11222" xr:uid="{F4D8C6D4-0F06-4911-A88B-D08434D2571B}"/>
    <cellStyle name="Comma 4 3 2 3" xfId="148" xr:uid="{00000000-0005-0000-0000-000043090000}"/>
    <cellStyle name="Comma 4 3 2 3 10" xfId="8841" xr:uid="{85260A7D-F4E2-4168-AC6A-C9E9DAFB7537}"/>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3F5C97E2-679A-4483-B45D-2D4E88027F2A}"/>
    <cellStyle name="Comma 4 3 2 3 2 2 3" xfId="11400" xr:uid="{C034B5B8-E75A-4ADA-8570-335E2EB40BC8}"/>
    <cellStyle name="Comma 4 3 2 3 2 3" xfId="5034" xr:uid="{00000000-0005-0000-0000-000047090000}"/>
    <cellStyle name="Comma 4 3 2 3 2 3 2" xfId="13473" xr:uid="{2B941CCD-CEE2-4537-A7A9-CA7430428CA4}"/>
    <cellStyle name="Comma 4 3 2 3 2 4" xfId="9255" xr:uid="{862E8978-3297-44E4-8973-609982999441}"/>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72CB9880-B12B-4AE2-A1AE-E3924294B223}"/>
    <cellStyle name="Comma 4 3 2 3 3 2 3" xfId="11813" xr:uid="{B461D9BD-1CB8-420E-A33F-D79181FE2D01}"/>
    <cellStyle name="Comma 4 3 2 3 3 3" xfId="5447" xr:uid="{00000000-0005-0000-0000-00004B090000}"/>
    <cellStyle name="Comma 4 3 2 3 3 3 2" xfId="13886" xr:uid="{FCC84963-7000-4AFB-AC7D-1AF6B0DE3FA2}"/>
    <cellStyle name="Comma 4 3 2 3 3 4" xfId="9668" xr:uid="{58DC9C28-BD33-4EE2-A0AB-70937BBA585A}"/>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270B8C7C-A4E9-4D61-9110-DBCF20E872ED}"/>
    <cellStyle name="Comma 4 3 2 3 4 2 3" xfId="12226" xr:uid="{83AA7237-E3D3-4313-BD3E-811FC3D6CE77}"/>
    <cellStyle name="Comma 4 3 2 3 4 3" xfId="5860" xr:uid="{00000000-0005-0000-0000-00004F090000}"/>
    <cellStyle name="Comma 4 3 2 3 4 3 2" xfId="14299" xr:uid="{61B63251-1C90-46C5-813D-FE3B389DFED5}"/>
    <cellStyle name="Comma 4 3 2 3 4 4" xfId="10081" xr:uid="{6E84ADC0-E590-4C1B-B873-DDD80068BB98}"/>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8E1E196A-7530-4D2A-9508-763B4201A778}"/>
    <cellStyle name="Comma 4 3 2 3 5 2 3" xfId="12639" xr:uid="{C73566A5-FA56-417A-B34A-4CD1B995F1B7}"/>
    <cellStyle name="Comma 4 3 2 3 5 3" xfId="6273" xr:uid="{00000000-0005-0000-0000-000053090000}"/>
    <cellStyle name="Comma 4 3 2 3 5 3 2" xfId="14712" xr:uid="{5A6328FA-EC04-4EA0-BB6A-229F076889E3}"/>
    <cellStyle name="Comma 4 3 2 3 5 4" xfId="10494" xr:uid="{EA09F657-9F9A-4958-9211-7505A7A4344F}"/>
    <cellStyle name="Comma 4 3 2 3 6" xfId="2401" xr:uid="{00000000-0005-0000-0000-000054090000}"/>
    <cellStyle name="Comma 4 3 2 3 6 2" xfId="6686" xr:uid="{00000000-0005-0000-0000-000055090000}"/>
    <cellStyle name="Comma 4 3 2 3 6 2 2" xfId="15125" xr:uid="{F3A54842-0C12-42C3-BFCF-670EB9F5CC58}"/>
    <cellStyle name="Comma 4 3 2 3 6 3" xfId="10907" xr:uid="{8DEE602F-39A3-4790-B62F-ACE4D25C1958}"/>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A0B5290B-9F2B-4E71-8D47-AFA62EB5A523}"/>
    <cellStyle name="Comma 4 3 2 3 8 3" xfId="11224" xr:uid="{4E540333-AB89-4D17-BD24-163E7F66233F}"/>
    <cellStyle name="Comma 4 3 2 3 9" xfId="4620" xr:uid="{00000000-0005-0000-0000-000059090000}"/>
    <cellStyle name="Comma 4 3 2 3 9 2" xfId="13059" xr:uid="{7991713A-D01B-4F23-93D9-A659B70AB84B}"/>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70205B9D-D7D3-4C87-B49A-24D3B954068F}"/>
    <cellStyle name="Comma 4 3 2 4 2 3" xfId="11397" xr:uid="{CBA7232A-6F85-4BD4-A773-E11ABA5D5F5A}"/>
    <cellStyle name="Comma 4 3 2 4 3" xfId="5031" xr:uid="{00000000-0005-0000-0000-00005D090000}"/>
    <cellStyle name="Comma 4 3 2 4 3 2" xfId="13470" xr:uid="{8D8D3AA8-A3C5-46F5-AE40-2475E5CEA164}"/>
    <cellStyle name="Comma 4 3 2 4 4" xfId="9252" xr:uid="{42DD7A6C-1A96-43F1-B6DC-FAD4DC8DE4E5}"/>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6F61AC1C-EBBF-4831-9A3C-1F4D339876BF}"/>
    <cellStyle name="Comma 4 3 2 5 2 3" xfId="11810" xr:uid="{8986B108-E8EC-4D8B-805B-049306B9A83A}"/>
    <cellStyle name="Comma 4 3 2 5 3" xfId="5444" xr:uid="{00000000-0005-0000-0000-000061090000}"/>
    <cellStyle name="Comma 4 3 2 5 3 2" xfId="13883" xr:uid="{2F4B7798-CC51-4AF2-8AE9-64C7D01117BE}"/>
    <cellStyle name="Comma 4 3 2 5 4" xfId="9665" xr:uid="{B380594B-36E8-40AD-8531-6DB982E6599A}"/>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1A4E3EFC-1A1E-475C-99D3-A8A0054007A6}"/>
    <cellStyle name="Comma 4 3 2 6 2 3" xfId="12223" xr:uid="{14693496-5F69-488D-BDE1-E3F4F73C5E15}"/>
    <cellStyle name="Comma 4 3 2 6 3" xfId="5857" xr:uid="{00000000-0005-0000-0000-000065090000}"/>
    <cellStyle name="Comma 4 3 2 6 3 2" xfId="14296" xr:uid="{832E64A6-E08C-4AB5-81F2-D8B94ABECE9A}"/>
    <cellStyle name="Comma 4 3 2 6 4" xfId="10078" xr:uid="{C91622D7-C2DE-419A-ABE8-6DC3E54A96A1}"/>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6ED2073B-3DB8-4F19-A49C-A4B0F63B6C73}"/>
    <cellStyle name="Comma 4 3 2 7 2 3" xfId="12636" xr:uid="{905ADDDC-DE3C-41B2-8C73-B40C754BD8DC}"/>
    <cellStyle name="Comma 4 3 2 7 3" xfId="6270" xr:uid="{00000000-0005-0000-0000-000069090000}"/>
    <cellStyle name="Comma 4 3 2 7 3 2" xfId="14709" xr:uid="{46F1D453-064A-406F-839B-A29D331D0E07}"/>
    <cellStyle name="Comma 4 3 2 7 4" xfId="10491" xr:uid="{E49B9B21-C01B-4553-A696-DEEB7D000E36}"/>
    <cellStyle name="Comma 4 3 2 8" xfId="2398" xr:uid="{00000000-0005-0000-0000-00006A090000}"/>
    <cellStyle name="Comma 4 3 2 8 2" xfId="6683" xr:uid="{00000000-0005-0000-0000-00006B090000}"/>
    <cellStyle name="Comma 4 3 2 8 2 2" xfId="15122" xr:uid="{3B067A45-A536-4901-B724-EF7A5B19CC8C}"/>
    <cellStyle name="Comma 4 3 2 8 3" xfId="10904" xr:uid="{470ABB3A-8427-4EE9-8B32-B6F74AFA772A}"/>
    <cellStyle name="Comma 4 3 2 9" xfId="2365" xr:uid="{00000000-0005-0000-0000-00006C090000}"/>
    <cellStyle name="Comma 4 3 3" xfId="149" xr:uid="{00000000-0005-0000-0000-00006D090000}"/>
    <cellStyle name="Comma 4 3 3 10" xfId="4621" xr:uid="{00000000-0005-0000-0000-00006E090000}"/>
    <cellStyle name="Comma 4 3 3 10 2" xfId="13060" xr:uid="{20793D76-C9C1-4DA7-A05A-371A09650E2A}"/>
    <cellStyle name="Comma 4 3 3 11" xfId="8842" xr:uid="{5EE3B672-1CC5-4407-8DF5-CC1EC51F3783}"/>
    <cellStyle name="Comma 4 3 3 2" xfId="150" xr:uid="{00000000-0005-0000-0000-00006F090000}"/>
    <cellStyle name="Comma 4 3 3 2 10" xfId="8843" xr:uid="{57B30ACF-7D7B-4ECB-9822-C2FB275048C7}"/>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46215602-4833-4BB1-8589-C8AD64829F1F}"/>
    <cellStyle name="Comma 4 3 3 2 2 2 3" xfId="11402" xr:uid="{1D287D91-9031-46F5-8C27-4235C25B1F2D}"/>
    <cellStyle name="Comma 4 3 3 2 2 3" xfId="5036" xr:uid="{00000000-0005-0000-0000-000073090000}"/>
    <cellStyle name="Comma 4 3 3 2 2 3 2" xfId="13475" xr:uid="{58748349-05CD-4474-98BE-242D57CC60E6}"/>
    <cellStyle name="Comma 4 3 3 2 2 4" xfId="9257" xr:uid="{571C9060-45A2-4C17-AB4E-42D3931495FF}"/>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B5A3250D-482A-470B-8A97-71BE2C8366B4}"/>
    <cellStyle name="Comma 4 3 3 2 3 2 3" xfId="11815" xr:uid="{3F855939-E707-4157-A40A-D0C145A6B9DC}"/>
    <cellStyle name="Comma 4 3 3 2 3 3" xfId="5449" xr:uid="{00000000-0005-0000-0000-000077090000}"/>
    <cellStyle name="Comma 4 3 3 2 3 3 2" xfId="13888" xr:uid="{976686A6-93FA-452A-A170-BD69D1C8F941}"/>
    <cellStyle name="Comma 4 3 3 2 3 4" xfId="9670" xr:uid="{B5C06CC0-C8AF-4E6E-9F52-5E0DC2D724AE}"/>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5EBA9361-3D23-4A98-AB17-9871F6B96463}"/>
    <cellStyle name="Comma 4 3 3 2 4 2 3" xfId="12228" xr:uid="{59C01147-8637-4523-912A-BD14BE07BF1C}"/>
    <cellStyle name="Comma 4 3 3 2 4 3" xfId="5862" xr:uid="{00000000-0005-0000-0000-00007B090000}"/>
    <cellStyle name="Comma 4 3 3 2 4 3 2" xfId="14301" xr:uid="{E893BBBF-DE1A-46FA-9698-AD1799439A15}"/>
    <cellStyle name="Comma 4 3 3 2 4 4" xfId="10083" xr:uid="{775912C1-DF25-4E84-B08D-A75EF30E1F0A}"/>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DD28B62A-E43E-4AA4-AC46-F22E33987DE2}"/>
    <cellStyle name="Comma 4 3 3 2 5 2 3" xfId="12641" xr:uid="{9E091A74-AE3F-4816-8624-E20F97CDFB31}"/>
    <cellStyle name="Comma 4 3 3 2 5 3" xfId="6275" xr:uid="{00000000-0005-0000-0000-00007F090000}"/>
    <cellStyle name="Comma 4 3 3 2 5 3 2" xfId="14714" xr:uid="{0B015F32-88B4-4932-A29B-D4D081330341}"/>
    <cellStyle name="Comma 4 3 3 2 5 4" xfId="10496" xr:uid="{08AF4FD9-6FAF-45A8-B871-3415DF0530FD}"/>
    <cellStyle name="Comma 4 3 3 2 6" xfId="2403" xr:uid="{00000000-0005-0000-0000-000080090000}"/>
    <cellStyle name="Comma 4 3 3 2 6 2" xfId="6688" xr:uid="{00000000-0005-0000-0000-000081090000}"/>
    <cellStyle name="Comma 4 3 3 2 6 2 2" xfId="15127" xr:uid="{7EA82292-C78C-4985-A824-0B3ED93D4826}"/>
    <cellStyle name="Comma 4 3 3 2 6 3" xfId="10909" xr:uid="{FE6D5C3E-160F-4C40-BDFC-DAB81D9A7862}"/>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F0833871-E4E7-41A8-9249-2D35FCEAA5C5}"/>
    <cellStyle name="Comma 4 3 3 2 8 3" xfId="11226" xr:uid="{9D935B73-8642-4A85-B5CD-997D86BC87F4}"/>
    <cellStyle name="Comma 4 3 3 2 9" xfId="4622" xr:uid="{00000000-0005-0000-0000-000085090000}"/>
    <cellStyle name="Comma 4 3 3 2 9 2" xfId="13061" xr:uid="{1045B40B-72DD-4CFE-9D2D-401E775F15B3}"/>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3A9BE8CB-4F81-4419-AC3F-852BE30E158B}"/>
    <cellStyle name="Comma 4 3 3 3 2 3" xfId="11401" xr:uid="{FC33938D-F4DA-4CF3-BB0B-CB5FB607F0D6}"/>
    <cellStyle name="Comma 4 3 3 3 3" xfId="5035" xr:uid="{00000000-0005-0000-0000-000089090000}"/>
    <cellStyle name="Comma 4 3 3 3 3 2" xfId="13474" xr:uid="{26892D22-78A7-4394-8CDC-080C0AF9210F}"/>
    <cellStyle name="Comma 4 3 3 3 4" xfId="9256" xr:uid="{A2C25E5F-AE98-4BA3-9B46-42BFC61D27A2}"/>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CF6AD0CF-DB10-4EA8-AE1A-BB3A93FA9FD1}"/>
    <cellStyle name="Comma 4 3 3 4 2 3" xfId="11814" xr:uid="{BA848F41-0CCD-4883-A98B-F87490B5250F}"/>
    <cellStyle name="Comma 4 3 3 4 3" xfId="5448" xr:uid="{00000000-0005-0000-0000-00008D090000}"/>
    <cellStyle name="Comma 4 3 3 4 3 2" xfId="13887" xr:uid="{0AB8E01E-57BD-4E11-86A9-46ED8D6BD05A}"/>
    <cellStyle name="Comma 4 3 3 4 4" xfId="9669" xr:uid="{D4034766-5E5C-40BD-B5FC-C12260B0CBC7}"/>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8F6772C2-8709-4E77-A9A8-39C846429A47}"/>
    <cellStyle name="Comma 4 3 3 5 2 3" xfId="12227" xr:uid="{AB147AE6-6291-4053-A5FD-A2B968F3F607}"/>
    <cellStyle name="Comma 4 3 3 5 3" xfId="5861" xr:uid="{00000000-0005-0000-0000-000091090000}"/>
    <cellStyle name="Comma 4 3 3 5 3 2" xfId="14300" xr:uid="{E8EAA51E-6232-4F0D-85C7-52ECBC9AC739}"/>
    <cellStyle name="Comma 4 3 3 5 4" xfId="10082" xr:uid="{D92CD22B-4DC2-4F74-B34A-1FEE0E9D5D04}"/>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1E3D4A08-C54C-4057-BF6A-04908309A6FF}"/>
    <cellStyle name="Comma 4 3 3 6 2 3" xfId="12640" xr:uid="{AB86A2D2-BCAF-4365-AE9B-3746D9DE38F9}"/>
    <cellStyle name="Comma 4 3 3 6 3" xfId="6274" xr:uid="{00000000-0005-0000-0000-000095090000}"/>
    <cellStyle name="Comma 4 3 3 6 3 2" xfId="14713" xr:uid="{A30D4505-F208-4D2B-AC84-970915D860EE}"/>
    <cellStyle name="Comma 4 3 3 6 4" xfId="10495" xr:uid="{5C542C44-F736-4464-A48F-BB15E3430A57}"/>
    <cellStyle name="Comma 4 3 3 7" xfId="2402" xr:uid="{00000000-0005-0000-0000-000096090000}"/>
    <cellStyle name="Comma 4 3 3 7 2" xfId="6687" xr:uid="{00000000-0005-0000-0000-000097090000}"/>
    <cellStyle name="Comma 4 3 3 7 2 2" xfId="15126" xr:uid="{150673B8-19F3-4AEC-B75D-A5C0E43337BF}"/>
    <cellStyle name="Comma 4 3 3 7 3" xfId="10908" xr:uid="{A520FBD9-0114-4DEB-A564-6E0B03F6FCE6}"/>
    <cellStyle name="Comma 4 3 3 8" xfId="2361" xr:uid="{00000000-0005-0000-0000-000098090000}"/>
    <cellStyle name="Comma 4 3 3 9" xfId="2780" xr:uid="{00000000-0005-0000-0000-000099090000}"/>
    <cellStyle name="Comma 4 3 3 9 2" xfId="7004" xr:uid="{00000000-0005-0000-0000-00009A090000}"/>
    <cellStyle name="Comma 4 3 3 9 2 2" xfId="15443" xr:uid="{5C2AF496-310F-4F93-B22F-4ED72A56B619}"/>
    <cellStyle name="Comma 4 3 3 9 3" xfId="11225" xr:uid="{D3A2D841-CF67-4CDF-8700-47BDF3A4788D}"/>
    <cellStyle name="Comma 4 3 4" xfId="151" xr:uid="{00000000-0005-0000-0000-00009B090000}"/>
    <cellStyle name="Comma 4 3 4 10" xfId="8844" xr:uid="{B995E67F-9CBA-482B-8C55-5009D0067E09}"/>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74427DA7-86DC-459C-A58A-E979B905F3BC}"/>
    <cellStyle name="Comma 4 3 4 2 2 3" xfId="11403" xr:uid="{4C73D4B3-294B-47C2-B181-ED08A9E42941}"/>
    <cellStyle name="Comma 4 3 4 2 3" xfId="5037" xr:uid="{00000000-0005-0000-0000-00009F090000}"/>
    <cellStyle name="Comma 4 3 4 2 3 2" xfId="13476" xr:uid="{6190DD4C-8E44-4A49-A4FB-A0CE24712E18}"/>
    <cellStyle name="Comma 4 3 4 2 4" xfId="9258" xr:uid="{FA035222-4EAF-4A1A-BA84-53ABE0AD17B1}"/>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80635DFE-9727-4C3F-8926-225AF72C82EC}"/>
    <cellStyle name="Comma 4 3 4 3 2 3" xfId="11816" xr:uid="{39FD7ACA-3084-41F5-9CC3-0EB5F5461189}"/>
    <cellStyle name="Comma 4 3 4 3 3" xfId="5450" xr:uid="{00000000-0005-0000-0000-0000A3090000}"/>
    <cellStyle name="Comma 4 3 4 3 3 2" xfId="13889" xr:uid="{E23B93A9-2834-48BA-8787-258EB3B4775D}"/>
    <cellStyle name="Comma 4 3 4 3 4" xfId="9671" xr:uid="{A06E2387-7DCA-4F29-9BD7-CB15F4C840C0}"/>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5ECA86C0-8E42-4389-9440-5DD517DB4816}"/>
    <cellStyle name="Comma 4 3 4 4 2 3" xfId="12229" xr:uid="{CEABB4E6-853D-4EBC-BF68-1DC8317C0193}"/>
    <cellStyle name="Comma 4 3 4 4 3" xfId="5863" xr:uid="{00000000-0005-0000-0000-0000A7090000}"/>
    <cellStyle name="Comma 4 3 4 4 3 2" xfId="14302" xr:uid="{542CB927-2B5B-4C1E-B511-8A2B63C69ABD}"/>
    <cellStyle name="Comma 4 3 4 4 4" xfId="10084" xr:uid="{0EE2C5F1-DB70-4D75-B836-C2CB68B3F8D1}"/>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67CB6A5A-4053-493F-A60A-002EA5CE2809}"/>
    <cellStyle name="Comma 4 3 4 5 2 3" xfId="12642" xr:uid="{74A20E3B-DCAA-45FB-82EF-2348E903F7DD}"/>
    <cellStyle name="Comma 4 3 4 5 3" xfId="6276" xr:uid="{00000000-0005-0000-0000-0000AB090000}"/>
    <cellStyle name="Comma 4 3 4 5 3 2" xfId="14715" xr:uid="{329EC764-B62A-4AD6-A8DA-BBA21DD03AFB}"/>
    <cellStyle name="Comma 4 3 4 5 4" xfId="10497" xr:uid="{BA258AED-8205-489B-BB80-198972B1A0E0}"/>
    <cellStyle name="Comma 4 3 4 6" xfId="2404" xr:uid="{00000000-0005-0000-0000-0000AC090000}"/>
    <cellStyle name="Comma 4 3 4 6 2" xfId="6689" xr:uid="{00000000-0005-0000-0000-0000AD090000}"/>
    <cellStyle name="Comma 4 3 4 6 2 2" xfId="15128" xr:uid="{18A1BD91-B367-4404-B303-6A9430D47DA1}"/>
    <cellStyle name="Comma 4 3 4 6 3" xfId="10910" xr:uid="{275863CD-CE4C-4D9B-AD8E-499E1F019D06}"/>
    <cellStyle name="Comma 4 3 4 7" xfId="2700" xr:uid="{00000000-0005-0000-0000-0000AE090000}"/>
    <cellStyle name="Comma 4 3 4 8" xfId="2782" xr:uid="{00000000-0005-0000-0000-0000AF090000}"/>
    <cellStyle name="Comma 4 3 4 8 2" xfId="7006" xr:uid="{00000000-0005-0000-0000-0000B0090000}"/>
    <cellStyle name="Comma 4 3 4 8 2 2" xfId="15445" xr:uid="{0FFC276D-CFE1-42D2-8225-0990CB0A3DD4}"/>
    <cellStyle name="Comma 4 3 4 8 3" xfId="11227" xr:uid="{B2CDCDC1-082D-401D-A6CC-22B100C4CE2B}"/>
    <cellStyle name="Comma 4 3 4 9" xfId="4623" xr:uid="{00000000-0005-0000-0000-0000B1090000}"/>
    <cellStyle name="Comma 4 3 4 9 2" xfId="13062" xr:uid="{0A5E74A4-89C2-4E4C-8D54-56D2505D86BF}"/>
    <cellStyle name="Comma 4 3 5" xfId="152" xr:uid="{00000000-0005-0000-0000-0000B2090000}"/>
    <cellStyle name="Comma 4 3 5 10" xfId="8845" xr:uid="{13BF411E-B310-4F2E-9FF7-FAC267326DF1}"/>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0984FB62-0330-4EBA-8E70-24FF917C3097}"/>
    <cellStyle name="Comma 4 3 5 2 2 3" xfId="11404" xr:uid="{B77FE786-3F7F-408C-B28E-EE95B450C5E9}"/>
    <cellStyle name="Comma 4 3 5 2 3" xfId="5038" xr:uid="{00000000-0005-0000-0000-0000B6090000}"/>
    <cellStyle name="Comma 4 3 5 2 3 2" xfId="13477" xr:uid="{D4075B99-8BEB-482E-A279-780110466CF2}"/>
    <cellStyle name="Comma 4 3 5 2 4" xfId="9259" xr:uid="{0F0D790C-CC31-4660-8F90-BB456C50E415}"/>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6912DA0C-2978-4D17-987C-1A77E1F648D9}"/>
    <cellStyle name="Comma 4 3 5 3 2 3" xfId="11817" xr:uid="{C870EA7E-20AB-4FBD-B8B8-8AA54178FCB4}"/>
    <cellStyle name="Comma 4 3 5 3 3" xfId="5451" xr:uid="{00000000-0005-0000-0000-0000BA090000}"/>
    <cellStyle name="Comma 4 3 5 3 3 2" xfId="13890" xr:uid="{B38F3593-1494-438E-B5CF-A3895B947332}"/>
    <cellStyle name="Comma 4 3 5 3 4" xfId="9672" xr:uid="{69757F7B-5FBA-44F9-BB75-C7608A27A8E7}"/>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91308546-9B92-4760-86C9-ECA905EDB5DF}"/>
    <cellStyle name="Comma 4 3 5 4 2 3" xfId="12230" xr:uid="{87570C07-CE51-45B9-BB3B-F7E4F4FFEC90}"/>
    <cellStyle name="Comma 4 3 5 4 3" xfId="5864" xr:uid="{00000000-0005-0000-0000-0000BE090000}"/>
    <cellStyle name="Comma 4 3 5 4 3 2" xfId="14303" xr:uid="{915D51B7-C263-4876-8ED5-7A56EB82890B}"/>
    <cellStyle name="Comma 4 3 5 4 4" xfId="10085" xr:uid="{8E54EED7-8A0E-422D-A9DE-CEFE1A95E316}"/>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20C0F9AC-A743-4BA1-A415-34E057E9E46F}"/>
    <cellStyle name="Comma 4 3 5 5 2 3" xfId="12643" xr:uid="{4338D112-2B89-4942-92CD-C13C37D1E37B}"/>
    <cellStyle name="Comma 4 3 5 5 3" xfId="6277" xr:uid="{00000000-0005-0000-0000-0000C2090000}"/>
    <cellStyle name="Comma 4 3 5 5 3 2" xfId="14716" xr:uid="{115AE538-0F15-4BC3-9D01-C56495615CDC}"/>
    <cellStyle name="Comma 4 3 5 5 4" xfId="10498" xr:uid="{A9567202-B6EB-4D38-BD40-146391E767A3}"/>
    <cellStyle name="Comma 4 3 5 6" xfId="2405" xr:uid="{00000000-0005-0000-0000-0000C3090000}"/>
    <cellStyle name="Comma 4 3 5 6 2" xfId="6690" xr:uid="{00000000-0005-0000-0000-0000C4090000}"/>
    <cellStyle name="Comma 4 3 5 6 2 2" xfId="15129" xr:uid="{B5E354FA-45E0-452E-B5FE-76E97950C98D}"/>
    <cellStyle name="Comma 4 3 5 6 3" xfId="10911" xr:uid="{2485FDCC-EBF3-4236-AC3A-300EA1D7130D}"/>
    <cellStyle name="Comma 4 3 5 7" xfId="2701" xr:uid="{00000000-0005-0000-0000-0000C5090000}"/>
    <cellStyle name="Comma 4 3 5 8" xfId="2783" xr:uid="{00000000-0005-0000-0000-0000C6090000}"/>
    <cellStyle name="Comma 4 3 5 8 2" xfId="7007" xr:uid="{00000000-0005-0000-0000-0000C7090000}"/>
    <cellStyle name="Comma 4 3 5 8 2 2" xfId="15446" xr:uid="{51AC46BD-10DA-4BE8-9E72-39CD0FC8971D}"/>
    <cellStyle name="Comma 4 3 5 8 3" xfId="11228" xr:uid="{FAFA4B58-9A15-493B-92F0-47CC99094D6F}"/>
    <cellStyle name="Comma 4 3 5 9" xfId="4624" xr:uid="{00000000-0005-0000-0000-0000C8090000}"/>
    <cellStyle name="Comma 4 3 5 9 2" xfId="13063" xr:uid="{E97EC0BC-1E38-4F70-A9D7-CFF6EC227430}"/>
    <cellStyle name="Comma 4 4" xfId="153" xr:uid="{00000000-0005-0000-0000-0000C9090000}"/>
    <cellStyle name="Comma 4 4 10" xfId="2784" xr:uid="{00000000-0005-0000-0000-0000CA090000}"/>
    <cellStyle name="Comma 4 4 10 2" xfId="7008" xr:uid="{00000000-0005-0000-0000-0000CB090000}"/>
    <cellStyle name="Comma 4 4 10 2 2" xfId="15447" xr:uid="{4A87C2DB-0FEB-4526-A24F-3E30221476CE}"/>
    <cellStyle name="Comma 4 4 10 3" xfId="11229" xr:uid="{6ADBAA91-653F-40E9-9122-345CB106DCBB}"/>
    <cellStyle name="Comma 4 4 11" xfId="4625" xr:uid="{00000000-0005-0000-0000-0000CC090000}"/>
    <cellStyle name="Comma 4 4 11 2" xfId="13064" xr:uid="{2FEE2F05-3D45-4742-B2A7-C1542D84ED69}"/>
    <cellStyle name="Comma 4 4 12" xfId="8846" xr:uid="{8720B931-639D-4B67-B282-71FA7B3723E0}"/>
    <cellStyle name="Comma 4 4 2" xfId="154" xr:uid="{00000000-0005-0000-0000-0000CD090000}"/>
    <cellStyle name="Comma 4 4 2 10" xfId="4626" xr:uid="{00000000-0005-0000-0000-0000CE090000}"/>
    <cellStyle name="Comma 4 4 2 10 2" xfId="13065" xr:uid="{AC3C4996-C004-47AB-B423-B4454BD6C174}"/>
    <cellStyle name="Comma 4 4 2 11" xfId="8847" xr:uid="{142351A0-F4F1-4D55-B22E-0D54B4CA865E}"/>
    <cellStyle name="Comma 4 4 2 2" xfId="155" xr:uid="{00000000-0005-0000-0000-0000CF090000}"/>
    <cellStyle name="Comma 4 4 2 2 10" xfId="8848" xr:uid="{CFE7AC67-BFB9-44E8-B240-3105063BC821}"/>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E488F846-4D67-4E8A-BC18-062B08310EC7}"/>
    <cellStyle name="Comma 4 4 2 2 2 2 3" xfId="11407" xr:uid="{31F30BBA-72FE-4D60-8168-DE1307EE6622}"/>
    <cellStyle name="Comma 4 4 2 2 2 3" xfId="5041" xr:uid="{00000000-0005-0000-0000-0000D3090000}"/>
    <cellStyle name="Comma 4 4 2 2 2 3 2" xfId="13480" xr:uid="{151BE98C-B8A3-4680-A4F1-97CE5871B218}"/>
    <cellStyle name="Comma 4 4 2 2 2 4" xfId="9262" xr:uid="{484DABC1-027C-4E6F-986B-202F1787F8E4}"/>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272BCC35-49E9-4418-8E03-4E0E33BA02F8}"/>
    <cellStyle name="Comma 4 4 2 2 3 2 3" xfId="11820" xr:uid="{16539DCD-6593-4EEB-9935-81446A8833AD}"/>
    <cellStyle name="Comma 4 4 2 2 3 3" xfId="5454" xr:uid="{00000000-0005-0000-0000-0000D7090000}"/>
    <cellStyle name="Comma 4 4 2 2 3 3 2" xfId="13893" xr:uid="{0E1DD71E-5059-4F54-AC4D-0FA37FC44905}"/>
    <cellStyle name="Comma 4 4 2 2 3 4" xfId="9675" xr:uid="{0D6E6325-7E51-44BA-B18E-C7B3DB22CE77}"/>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EBBB66A7-98CC-4DB2-B5E3-42B74C6B93FC}"/>
    <cellStyle name="Comma 4 4 2 2 4 2 3" xfId="12233" xr:uid="{6E280E01-1A99-48EF-BCD0-6553ED38C59D}"/>
    <cellStyle name="Comma 4 4 2 2 4 3" xfId="5867" xr:uid="{00000000-0005-0000-0000-0000DB090000}"/>
    <cellStyle name="Comma 4 4 2 2 4 3 2" xfId="14306" xr:uid="{85D42E92-6946-46E9-82B8-C39201E2F40B}"/>
    <cellStyle name="Comma 4 4 2 2 4 4" xfId="10088" xr:uid="{C5416098-9703-4F94-AE97-742465B4AEF5}"/>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735B1013-1124-4798-BC4E-E26BCE489542}"/>
    <cellStyle name="Comma 4 4 2 2 5 2 3" xfId="12646" xr:uid="{DDA06750-8141-42DB-BB98-6577C3908042}"/>
    <cellStyle name="Comma 4 4 2 2 5 3" xfId="6280" xr:uid="{00000000-0005-0000-0000-0000DF090000}"/>
    <cellStyle name="Comma 4 4 2 2 5 3 2" xfId="14719" xr:uid="{E3EEE5D0-B01F-4996-87DA-37B6B62A081B}"/>
    <cellStyle name="Comma 4 4 2 2 5 4" xfId="10501" xr:uid="{83940ED3-3F06-4D1F-A783-66F8BCA8FD01}"/>
    <cellStyle name="Comma 4 4 2 2 6" xfId="2408" xr:uid="{00000000-0005-0000-0000-0000E0090000}"/>
    <cellStyle name="Comma 4 4 2 2 6 2" xfId="6693" xr:uid="{00000000-0005-0000-0000-0000E1090000}"/>
    <cellStyle name="Comma 4 4 2 2 6 2 2" xfId="15132" xr:uid="{CA8FD87E-016F-4B80-8080-161DE8519828}"/>
    <cellStyle name="Comma 4 4 2 2 6 3" xfId="10914" xr:uid="{BE7294C2-DF91-4F28-BE5E-DBDD7520A10D}"/>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7782702D-ABDE-48F0-B457-17CA13D9203E}"/>
    <cellStyle name="Comma 4 4 2 2 8 3" xfId="11231" xr:uid="{39A77CC7-7101-4060-AE6A-17AB0732A3C3}"/>
    <cellStyle name="Comma 4 4 2 2 9" xfId="4627" xr:uid="{00000000-0005-0000-0000-0000E5090000}"/>
    <cellStyle name="Comma 4 4 2 2 9 2" xfId="13066" xr:uid="{36E4CD99-ADBE-4D86-A85E-66BF9CCC5B8C}"/>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017E0728-21EB-432D-BD22-7FCFBD99F5E3}"/>
    <cellStyle name="Comma 4 4 2 3 2 3" xfId="11406" xr:uid="{813B55A5-584A-4A97-B5C8-E5AA89A38F98}"/>
    <cellStyle name="Comma 4 4 2 3 3" xfId="5040" xr:uid="{00000000-0005-0000-0000-0000E9090000}"/>
    <cellStyle name="Comma 4 4 2 3 3 2" xfId="13479" xr:uid="{8B1C498B-DD36-4F01-B963-0C20315E32BA}"/>
    <cellStyle name="Comma 4 4 2 3 4" xfId="9261" xr:uid="{22A9B047-C944-4BA8-A676-C57FAA821FF7}"/>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964F696D-ADDE-40A4-9972-BDB4B96ED450}"/>
    <cellStyle name="Comma 4 4 2 4 2 3" xfId="11819" xr:uid="{49B2BC2D-B177-481D-B594-19E5090CBBB8}"/>
    <cellStyle name="Comma 4 4 2 4 3" xfId="5453" xr:uid="{00000000-0005-0000-0000-0000ED090000}"/>
    <cellStyle name="Comma 4 4 2 4 3 2" xfId="13892" xr:uid="{BE3524C6-B781-4926-B4C3-652EEE9B1B71}"/>
    <cellStyle name="Comma 4 4 2 4 4" xfId="9674" xr:uid="{7D72E29D-3FB7-47BB-960A-44014CDCA4F7}"/>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312CDF26-44F2-4FCE-9BA3-B82E67932341}"/>
    <cellStyle name="Comma 4 4 2 5 2 3" xfId="12232" xr:uid="{7D9491A0-4586-4953-BEA8-D43267B4B3DA}"/>
    <cellStyle name="Comma 4 4 2 5 3" xfId="5866" xr:uid="{00000000-0005-0000-0000-0000F1090000}"/>
    <cellStyle name="Comma 4 4 2 5 3 2" xfId="14305" xr:uid="{8A49B3F2-BC6E-4225-BECF-7156D86C0025}"/>
    <cellStyle name="Comma 4 4 2 5 4" xfId="10087" xr:uid="{95764CF3-2105-4EA0-9311-1AD74B5B9DE4}"/>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6C7155B5-1606-4127-9FE4-D14EA84C50E1}"/>
    <cellStyle name="Comma 4 4 2 6 2 3" xfId="12645" xr:uid="{518CFE77-638B-4CD1-9003-A8E9774E11D5}"/>
    <cellStyle name="Comma 4 4 2 6 3" xfId="6279" xr:uid="{00000000-0005-0000-0000-0000F5090000}"/>
    <cellStyle name="Comma 4 4 2 6 3 2" xfId="14718" xr:uid="{32AD0793-6369-419D-AD39-B6403D053CAD}"/>
    <cellStyle name="Comma 4 4 2 6 4" xfId="10500" xr:uid="{0A49C88A-5F49-4688-B89D-E136C3659E93}"/>
    <cellStyle name="Comma 4 4 2 7" xfId="2407" xr:uid="{00000000-0005-0000-0000-0000F6090000}"/>
    <cellStyle name="Comma 4 4 2 7 2" xfId="6692" xr:uid="{00000000-0005-0000-0000-0000F7090000}"/>
    <cellStyle name="Comma 4 4 2 7 2 2" xfId="15131" xr:uid="{E03AA058-8362-4F5B-BA0C-C36E0697B547}"/>
    <cellStyle name="Comma 4 4 2 7 3" xfId="10913" xr:uid="{411C9845-58CC-4971-A401-1AE08D22D197}"/>
    <cellStyle name="Comma 4 4 2 8" xfId="2703" xr:uid="{00000000-0005-0000-0000-0000F8090000}"/>
    <cellStyle name="Comma 4 4 2 9" xfId="2785" xr:uid="{00000000-0005-0000-0000-0000F9090000}"/>
    <cellStyle name="Comma 4 4 2 9 2" xfId="7009" xr:uid="{00000000-0005-0000-0000-0000FA090000}"/>
    <cellStyle name="Comma 4 4 2 9 2 2" xfId="15448" xr:uid="{1B1ED351-863B-4655-A10D-677A23E77188}"/>
    <cellStyle name="Comma 4 4 2 9 3" xfId="11230" xr:uid="{47EBC548-7B14-49B9-ABB7-52BC89A2C1A3}"/>
    <cellStyle name="Comma 4 4 3" xfId="156" xr:uid="{00000000-0005-0000-0000-0000FB090000}"/>
    <cellStyle name="Comma 4 4 3 10" xfId="8849" xr:uid="{D1268D3C-A3A0-497D-9F4E-DCBE3890665A}"/>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DDFFDAED-CC9F-40C1-B372-47CDA4EE0199}"/>
    <cellStyle name="Comma 4 4 3 2 2 3" xfId="11408" xr:uid="{7DF367B1-492B-45F2-84D1-CD82430BA492}"/>
    <cellStyle name="Comma 4 4 3 2 3" xfId="5042" xr:uid="{00000000-0005-0000-0000-0000FF090000}"/>
    <cellStyle name="Comma 4 4 3 2 3 2" xfId="13481" xr:uid="{8E55977D-3E2C-4B21-B4B2-659FFB4F4C00}"/>
    <cellStyle name="Comma 4 4 3 2 4" xfId="9263" xr:uid="{E66003D0-6D92-4057-943C-726183EC15F9}"/>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335AA445-284F-4151-94EB-4EEB18972AFF}"/>
    <cellStyle name="Comma 4 4 3 3 2 3" xfId="11821" xr:uid="{190AE946-8623-48C2-952E-69A0144882B5}"/>
    <cellStyle name="Comma 4 4 3 3 3" xfId="5455" xr:uid="{00000000-0005-0000-0000-0000030A0000}"/>
    <cellStyle name="Comma 4 4 3 3 3 2" xfId="13894" xr:uid="{E266C6F6-2BA4-4FBF-8ED4-01E8B3DD6221}"/>
    <cellStyle name="Comma 4 4 3 3 4" xfId="9676" xr:uid="{305D0E75-BB07-432A-BC0E-B6F5C9B105BB}"/>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6B50CAF1-E518-486E-9837-2850BB151B93}"/>
    <cellStyle name="Comma 4 4 3 4 2 3" xfId="12234" xr:uid="{8380DC3B-1A65-4733-8036-375ACE26EB89}"/>
    <cellStyle name="Comma 4 4 3 4 3" xfId="5868" xr:uid="{00000000-0005-0000-0000-0000070A0000}"/>
    <cellStyle name="Comma 4 4 3 4 3 2" xfId="14307" xr:uid="{42FD1266-626E-40B7-8BA0-E4F63A4F597C}"/>
    <cellStyle name="Comma 4 4 3 4 4" xfId="10089" xr:uid="{40642309-445B-4465-AE10-D016A405766B}"/>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7A24C83F-2CC3-4423-B09D-6F490E35C57B}"/>
    <cellStyle name="Comma 4 4 3 5 2 3" xfId="12647" xr:uid="{F4056487-1172-4AF4-BEC3-97DF73C992CB}"/>
    <cellStyle name="Comma 4 4 3 5 3" xfId="6281" xr:uid="{00000000-0005-0000-0000-00000B0A0000}"/>
    <cellStyle name="Comma 4 4 3 5 3 2" xfId="14720" xr:uid="{C71B0B67-78D2-4EC5-B34B-FA29BC0BF1B0}"/>
    <cellStyle name="Comma 4 4 3 5 4" xfId="10502" xr:uid="{F5140924-5077-46FF-A6DC-54E700730FB8}"/>
    <cellStyle name="Comma 4 4 3 6" xfId="2409" xr:uid="{00000000-0005-0000-0000-00000C0A0000}"/>
    <cellStyle name="Comma 4 4 3 6 2" xfId="6694" xr:uid="{00000000-0005-0000-0000-00000D0A0000}"/>
    <cellStyle name="Comma 4 4 3 6 2 2" xfId="15133" xr:uid="{14932144-F274-43A4-A633-0257D3497814}"/>
    <cellStyle name="Comma 4 4 3 6 3" xfId="10915" xr:uid="{22C2FACF-48DA-457C-9405-1CFE9BCDD240}"/>
    <cellStyle name="Comma 4 4 3 7" xfId="2705" xr:uid="{00000000-0005-0000-0000-00000E0A0000}"/>
    <cellStyle name="Comma 4 4 3 8" xfId="2787" xr:uid="{00000000-0005-0000-0000-00000F0A0000}"/>
    <cellStyle name="Comma 4 4 3 8 2" xfId="7011" xr:uid="{00000000-0005-0000-0000-0000100A0000}"/>
    <cellStyle name="Comma 4 4 3 8 2 2" xfId="15450" xr:uid="{2DD777C4-609D-4386-AE67-E97A1A63F244}"/>
    <cellStyle name="Comma 4 4 3 8 3" xfId="11232" xr:uid="{28696326-CC41-40B4-A3DA-F6F89E09919D}"/>
    <cellStyle name="Comma 4 4 3 9" xfId="4628" xr:uid="{00000000-0005-0000-0000-0000110A0000}"/>
    <cellStyle name="Comma 4 4 3 9 2" xfId="13067" xr:uid="{55E48A66-E552-4F71-8C3F-239F2A990994}"/>
    <cellStyle name="Comma 4 4 4" xfId="690" xr:uid="{00000000-0005-0000-0000-0000120A0000}"/>
    <cellStyle name="Comma 4 4 4 2" xfId="2961" xr:uid="{00000000-0005-0000-0000-0000130A0000}"/>
    <cellStyle name="Comma 4 4 4 2 2" xfId="7184" xr:uid="{00000000-0005-0000-0000-0000140A0000}"/>
    <cellStyle name="Comma 4 4 4 2 2 2" xfId="15623" xr:uid="{88296DE9-655D-4639-8A38-EE10D1C4B0C6}"/>
    <cellStyle name="Comma 4 4 4 2 3" xfId="11405" xr:uid="{CB3A9F1D-9600-4F60-AB34-AD5FA0E66A09}"/>
    <cellStyle name="Comma 4 4 4 3" xfId="5039" xr:uid="{00000000-0005-0000-0000-0000150A0000}"/>
    <cellStyle name="Comma 4 4 4 3 2" xfId="13478" xr:uid="{F826999F-23AE-431E-9B0F-51D60F34628F}"/>
    <cellStyle name="Comma 4 4 4 4" xfId="9260" xr:uid="{A3A5C2B6-3920-4F77-A1BC-AC92595AF71C}"/>
    <cellStyle name="Comma 4 4 5" xfId="1143" xr:uid="{00000000-0005-0000-0000-0000160A0000}"/>
    <cellStyle name="Comma 4 4 5 2" xfId="3374" xr:uid="{00000000-0005-0000-0000-0000170A0000}"/>
    <cellStyle name="Comma 4 4 5 2 2" xfId="7597" xr:uid="{00000000-0005-0000-0000-0000180A0000}"/>
    <cellStyle name="Comma 4 4 5 2 2 2" xfId="16036" xr:uid="{9DCE6D26-3C4C-4E98-B758-8F7261283203}"/>
    <cellStyle name="Comma 4 4 5 2 3" xfId="11818" xr:uid="{DE1F2EAA-0453-4500-944F-7191F6EDE81B}"/>
    <cellStyle name="Comma 4 4 5 3" xfId="5452" xr:uid="{00000000-0005-0000-0000-0000190A0000}"/>
    <cellStyle name="Comma 4 4 5 3 2" xfId="13891" xr:uid="{284FAC90-EE3C-40E7-A5E4-1F0308F05BBB}"/>
    <cellStyle name="Comma 4 4 5 4" xfId="9673" xr:uid="{36B14FC7-3B0B-4433-B551-A8C2CE48CF4D}"/>
    <cellStyle name="Comma 4 4 6" xfId="1557" xr:uid="{00000000-0005-0000-0000-00001A0A0000}"/>
    <cellStyle name="Comma 4 4 6 2" xfId="3787" xr:uid="{00000000-0005-0000-0000-00001B0A0000}"/>
    <cellStyle name="Comma 4 4 6 2 2" xfId="8010" xr:uid="{00000000-0005-0000-0000-00001C0A0000}"/>
    <cellStyle name="Comma 4 4 6 2 2 2" xfId="16449" xr:uid="{C2D628A1-CCDA-4C95-BDE1-A0E72B3A0933}"/>
    <cellStyle name="Comma 4 4 6 2 3" xfId="12231" xr:uid="{C2F7D255-029A-4327-8B6C-3DAAD3668C6B}"/>
    <cellStyle name="Comma 4 4 6 3" xfId="5865" xr:uid="{00000000-0005-0000-0000-00001D0A0000}"/>
    <cellStyle name="Comma 4 4 6 3 2" xfId="14304" xr:uid="{3F46B564-085B-4982-9B4A-6E3462ABB571}"/>
    <cellStyle name="Comma 4 4 6 4" xfId="10086" xr:uid="{FAEDCC35-B3C8-4692-A2A3-D1F299B755D0}"/>
    <cellStyle name="Comma 4 4 7" xfId="1971" xr:uid="{00000000-0005-0000-0000-00001E0A0000}"/>
    <cellStyle name="Comma 4 4 7 2" xfId="4200" xr:uid="{00000000-0005-0000-0000-00001F0A0000}"/>
    <cellStyle name="Comma 4 4 7 2 2" xfId="8423" xr:uid="{00000000-0005-0000-0000-0000200A0000}"/>
    <cellStyle name="Comma 4 4 7 2 2 2" xfId="16862" xr:uid="{17E6BF48-87BC-48FB-961A-74FCA68F7688}"/>
    <cellStyle name="Comma 4 4 7 2 3" xfId="12644" xr:uid="{9B352A80-C13F-4038-87D3-B42537EA6917}"/>
    <cellStyle name="Comma 4 4 7 3" xfId="6278" xr:uid="{00000000-0005-0000-0000-0000210A0000}"/>
    <cellStyle name="Comma 4 4 7 3 2" xfId="14717" xr:uid="{504BC2DC-8B5D-466E-9B56-A86D83709228}"/>
    <cellStyle name="Comma 4 4 7 4" xfId="10499" xr:uid="{ABC430A2-9A6C-4EE8-A0C4-CC61555ACE12}"/>
    <cellStyle name="Comma 4 4 8" xfId="2406" xr:uid="{00000000-0005-0000-0000-0000220A0000}"/>
    <cellStyle name="Comma 4 4 8 2" xfId="6691" xr:uid="{00000000-0005-0000-0000-0000230A0000}"/>
    <cellStyle name="Comma 4 4 8 2 2" xfId="15130" xr:uid="{EDE32DB3-5B1D-45CD-BF19-80FFE115A3AE}"/>
    <cellStyle name="Comma 4 4 8 3" xfId="10912" xr:uid="{17A210EA-ACDC-4BEB-A3D4-7AC30A8ADB76}"/>
    <cellStyle name="Comma 4 4 9" xfId="2702" xr:uid="{00000000-0005-0000-0000-0000240A0000}"/>
    <cellStyle name="Comma 4 5" xfId="157" xr:uid="{00000000-0005-0000-0000-0000250A0000}"/>
    <cellStyle name="Comma 4 5 10" xfId="4629" xr:uid="{00000000-0005-0000-0000-0000260A0000}"/>
    <cellStyle name="Comma 4 5 10 2" xfId="13068" xr:uid="{BBF48CB8-0187-40B5-988F-2173EAD06BE7}"/>
    <cellStyle name="Comma 4 5 11" xfId="8850" xr:uid="{BE329C02-47D0-40BD-A5BD-709B733669B4}"/>
    <cellStyle name="Comma 4 5 2" xfId="158" xr:uid="{00000000-0005-0000-0000-0000270A0000}"/>
    <cellStyle name="Comma 4 5 2 10" xfId="8851" xr:uid="{7462B42E-392D-4A5B-A7C1-35234B3346AF}"/>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F544A23C-1BFE-4AA8-80F5-CCCF703E0583}"/>
    <cellStyle name="Comma 4 5 2 2 2 3" xfId="11410" xr:uid="{947C475F-CFDE-42C6-9551-4A03C83FF2A1}"/>
    <cellStyle name="Comma 4 5 2 2 3" xfId="5044" xr:uid="{00000000-0005-0000-0000-00002B0A0000}"/>
    <cellStyle name="Comma 4 5 2 2 3 2" xfId="13483" xr:uid="{1707B99B-694D-4DDF-AF69-A9CB65849117}"/>
    <cellStyle name="Comma 4 5 2 2 4" xfId="9265" xr:uid="{25994156-BC6C-41A5-9DE8-D58775E2A9E2}"/>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4BE33D43-C190-4D44-9A5A-EC0D9144CD24}"/>
    <cellStyle name="Comma 4 5 2 3 2 3" xfId="11823" xr:uid="{51A42387-7301-4434-BA5E-5F865F151D28}"/>
    <cellStyle name="Comma 4 5 2 3 3" xfId="5457" xr:uid="{00000000-0005-0000-0000-00002F0A0000}"/>
    <cellStyle name="Comma 4 5 2 3 3 2" xfId="13896" xr:uid="{A5B185CB-1F2B-4C0E-B685-AC4827AF8E2E}"/>
    <cellStyle name="Comma 4 5 2 3 4" xfId="9678" xr:uid="{1B5A9622-CE6A-4B51-A48C-29EF928AC1EB}"/>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B19798B1-278E-48A0-A7B9-D40BFDBA065C}"/>
    <cellStyle name="Comma 4 5 2 4 2 3" xfId="12236" xr:uid="{541E9013-CBF5-4FAC-BEDE-166855613D23}"/>
    <cellStyle name="Comma 4 5 2 4 3" xfId="5870" xr:uid="{00000000-0005-0000-0000-0000330A0000}"/>
    <cellStyle name="Comma 4 5 2 4 3 2" xfId="14309" xr:uid="{26BC47EA-C690-4509-9442-4A7BD57482BC}"/>
    <cellStyle name="Comma 4 5 2 4 4" xfId="10091" xr:uid="{F08A12BA-D4C5-4232-8B92-0E18A2A924EA}"/>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7744F0E4-D322-4E0F-BA62-222D2A94184F}"/>
    <cellStyle name="Comma 4 5 2 5 2 3" xfId="12649" xr:uid="{248D55E6-D1EC-42AC-8C31-455312D43CAE}"/>
    <cellStyle name="Comma 4 5 2 5 3" xfId="6283" xr:uid="{00000000-0005-0000-0000-0000370A0000}"/>
    <cellStyle name="Comma 4 5 2 5 3 2" xfId="14722" xr:uid="{F68D6AF7-BE09-4CBB-BCB3-796A11EB224A}"/>
    <cellStyle name="Comma 4 5 2 5 4" xfId="10504" xr:uid="{0F5DDD40-5923-42B6-B935-C339788F7029}"/>
    <cellStyle name="Comma 4 5 2 6" xfId="2411" xr:uid="{00000000-0005-0000-0000-0000380A0000}"/>
    <cellStyle name="Comma 4 5 2 6 2" xfId="6696" xr:uid="{00000000-0005-0000-0000-0000390A0000}"/>
    <cellStyle name="Comma 4 5 2 6 2 2" xfId="15135" xr:uid="{CCF9E5BF-8479-40A4-A31F-ADF28A0CEDBC}"/>
    <cellStyle name="Comma 4 5 2 6 3" xfId="10917" xr:uid="{85A778F9-91E6-4D4E-9997-DA04314D620C}"/>
    <cellStyle name="Comma 4 5 2 7" xfId="2707" xr:uid="{00000000-0005-0000-0000-00003A0A0000}"/>
    <cellStyle name="Comma 4 5 2 8" xfId="2789" xr:uid="{00000000-0005-0000-0000-00003B0A0000}"/>
    <cellStyle name="Comma 4 5 2 8 2" xfId="7013" xr:uid="{00000000-0005-0000-0000-00003C0A0000}"/>
    <cellStyle name="Comma 4 5 2 8 2 2" xfId="15452" xr:uid="{6D4648C4-9365-4687-A4B5-8A615C9A6F1C}"/>
    <cellStyle name="Comma 4 5 2 8 3" xfId="11234" xr:uid="{C704144B-7204-4CB3-8375-B3B7F787C861}"/>
    <cellStyle name="Comma 4 5 2 9" xfId="4630" xr:uid="{00000000-0005-0000-0000-00003D0A0000}"/>
    <cellStyle name="Comma 4 5 2 9 2" xfId="13069" xr:uid="{EF954CD6-2B84-4825-8709-21BE5EF2709D}"/>
    <cellStyle name="Comma 4 5 3" xfId="694" xr:uid="{00000000-0005-0000-0000-00003E0A0000}"/>
    <cellStyle name="Comma 4 5 3 2" xfId="2965" xr:uid="{00000000-0005-0000-0000-00003F0A0000}"/>
    <cellStyle name="Comma 4 5 3 2 2" xfId="7188" xr:uid="{00000000-0005-0000-0000-0000400A0000}"/>
    <cellStyle name="Comma 4 5 3 2 2 2" xfId="15627" xr:uid="{10CC4A41-163F-4D5A-8062-117881DDA629}"/>
    <cellStyle name="Comma 4 5 3 2 3" xfId="11409" xr:uid="{5E0366FE-85FC-4773-8622-85D2D10FD3E4}"/>
    <cellStyle name="Comma 4 5 3 3" xfId="5043" xr:uid="{00000000-0005-0000-0000-0000410A0000}"/>
    <cellStyle name="Comma 4 5 3 3 2" xfId="13482" xr:uid="{3101AA97-BCF4-4975-A917-B319DE05CD74}"/>
    <cellStyle name="Comma 4 5 3 4" xfId="9264" xr:uid="{C7C95E80-3880-421C-B77A-2B0F0AF85FA5}"/>
    <cellStyle name="Comma 4 5 4" xfId="1147" xr:uid="{00000000-0005-0000-0000-0000420A0000}"/>
    <cellStyle name="Comma 4 5 4 2" xfId="3378" xr:uid="{00000000-0005-0000-0000-0000430A0000}"/>
    <cellStyle name="Comma 4 5 4 2 2" xfId="7601" xr:uid="{00000000-0005-0000-0000-0000440A0000}"/>
    <cellStyle name="Comma 4 5 4 2 2 2" xfId="16040" xr:uid="{C9886BC7-E964-4EFF-8EDD-9028E83CD0CC}"/>
    <cellStyle name="Comma 4 5 4 2 3" xfId="11822" xr:uid="{72EF3B84-7F16-444F-99DF-138FEDC39B35}"/>
    <cellStyle name="Comma 4 5 4 3" xfId="5456" xr:uid="{00000000-0005-0000-0000-0000450A0000}"/>
    <cellStyle name="Comma 4 5 4 3 2" xfId="13895" xr:uid="{DC9EA550-AE5A-4695-9D99-674D1FB908EB}"/>
    <cellStyle name="Comma 4 5 4 4" xfId="9677" xr:uid="{8B935030-297A-4577-A31F-AA44E7FF65BC}"/>
    <cellStyle name="Comma 4 5 5" xfId="1561" xr:uid="{00000000-0005-0000-0000-0000460A0000}"/>
    <cellStyle name="Comma 4 5 5 2" xfId="3791" xr:uid="{00000000-0005-0000-0000-0000470A0000}"/>
    <cellStyle name="Comma 4 5 5 2 2" xfId="8014" xr:uid="{00000000-0005-0000-0000-0000480A0000}"/>
    <cellStyle name="Comma 4 5 5 2 2 2" xfId="16453" xr:uid="{8B0F06EF-0116-4D58-A507-9B1C68BE3DAB}"/>
    <cellStyle name="Comma 4 5 5 2 3" xfId="12235" xr:uid="{ABF14E7E-83D0-4EA9-9D0D-FBCB27148ACB}"/>
    <cellStyle name="Comma 4 5 5 3" xfId="5869" xr:uid="{00000000-0005-0000-0000-0000490A0000}"/>
    <cellStyle name="Comma 4 5 5 3 2" xfId="14308" xr:uid="{EC4AE4A1-9840-4A5B-B8F5-761639E24E9D}"/>
    <cellStyle name="Comma 4 5 5 4" xfId="10090" xr:uid="{062810B2-103D-4438-9E53-F7F6FC928352}"/>
    <cellStyle name="Comma 4 5 6" xfId="1975" xr:uid="{00000000-0005-0000-0000-00004A0A0000}"/>
    <cellStyle name="Comma 4 5 6 2" xfId="4204" xr:uid="{00000000-0005-0000-0000-00004B0A0000}"/>
    <cellStyle name="Comma 4 5 6 2 2" xfId="8427" xr:uid="{00000000-0005-0000-0000-00004C0A0000}"/>
    <cellStyle name="Comma 4 5 6 2 2 2" xfId="16866" xr:uid="{CCD3EA88-3D34-461D-B369-95936A1FD7AD}"/>
    <cellStyle name="Comma 4 5 6 2 3" xfId="12648" xr:uid="{C8D4AC5A-6D2E-4566-A848-C4A35B096213}"/>
    <cellStyle name="Comma 4 5 6 3" xfId="6282" xr:uid="{00000000-0005-0000-0000-00004D0A0000}"/>
    <cellStyle name="Comma 4 5 6 3 2" xfId="14721" xr:uid="{507DA134-DBEF-4727-A35F-05EA0B709BDC}"/>
    <cellStyle name="Comma 4 5 6 4" xfId="10503" xr:uid="{3C013FE0-1344-4521-9D84-B3B4A304F818}"/>
    <cellStyle name="Comma 4 5 7" xfId="2410" xr:uid="{00000000-0005-0000-0000-00004E0A0000}"/>
    <cellStyle name="Comma 4 5 7 2" xfId="6695" xr:uid="{00000000-0005-0000-0000-00004F0A0000}"/>
    <cellStyle name="Comma 4 5 7 2 2" xfId="15134" xr:uid="{DF40B8A0-F1B2-4F16-BEEB-20B67FAC817F}"/>
    <cellStyle name="Comma 4 5 7 3" xfId="10916" xr:uid="{AAF10537-BE1C-43B5-A5B6-881EE5D16E35}"/>
    <cellStyle name="Comma 4 5 8" xfId="2706" xr:uid="{00000000-0005-0000-0000-0000500A0000}"/>
    <cellStyle name="Comma 4 5 9" xfId="2788" xr:uid="{00000000-0005-0000-0000-0000510A0000}"/>
    <cellStyle name="Comma 4 5 9 2" xfId="7012" xr:uid="{00000000-0005-0000-0000-0000520A0000}"/>
    <cellStyle name="Comma 4 5 9 2 2" xfId="15451" xr:uid="{95BEDD27-04EB-4CD1-A265-68EBB266CEDE}"/>
    <cellStyle name="Comma 4 5 9 3" xfId="11233" xr:uid="{37B3237D-2114-4A7C-982A-7D8D53010A53}"/>
    <cellStyle name="Comma 4 6" xfId="159" xr:uid="{00000000-0005-0000-0000-0000530A0000}"/>
    <cellStyle name="Comma 4 6 10" xfId="8852" xr:uid="{F9C98559-98D6-43F1-B619-AC607E85F2AA}"/>
    <cellStyle name="Comma 4 6 2" xfId="696" xr:uid="{00000000-0005-0000-0000-0000540A0000}"/>
    <cellStyle name="Comma 4 6 2 2" xfId="2967" xr:uid="{00000000-0005-0000-0000-0000550A0000}"/>
    <cellStyle name="Comma 4 6 2 2 2" xfId="7190" xr:uid="{00000000-0005-0000-0000-0000560A0000}"/>
    <cellStyle name="Comma 4 6 2 2 2 2" xfId="15629" xr:uid="{0B80102B-96C3-4DA9-9F3E-D3B2B4526336}"/>
    <cellStyle name="Comma 4 6 2 2 3" xfId="11411" xr:uid="{3F367519-D723-40D7-8465-5716D110A737}"/>
    <cellStyle name="Comma 4 6 2 3" xfId="5045" xr:uid="{00000000-0005-0000-0000-0000570A0000}"/>
    <cellStyle name="Comma 4 6 2 3 2" xfId="13484" xr:uid="{FF31C45E-237F-4298-BD59-724566793DAF}"/>
    <cellStyle name="Comma 4 6 2 4" xfId="9266" xr:uid="{A0E41735-EA29-4EDF-B06F-7A648B3078BC}"/>
    <cellStyle name="Comma 4 6 3" xfId="1149" xr:uid="{00000000-0005-0000-0000-0000580A0000}"/>
    <cellStyle name="Comma 4 6 3 2" xfId="3380" xr:uid="{00000000-0005-0000-0000-0000590A0000}"/>
    <cellStyle name="Comma 4 6 3 2 2" xfId="7603" xr:uid="{00000000-0005-0000-0000-00005A0A0000}"/>
    <cellStyle name="Comma 4 6 3 2 2 2" xfId="16042" xr:uid="{AF07CABC-3B0C-483B-8400-3B9E1D8AD4FD}"/>
    <cellStyle name="Comma 4 6 3 2 3" xfId="11824" xr:uid="{5FFEC36F-6809-498C-BE70-7C297EF55CB1}"/>
    <cellStyle name="Comma 4 6 3 3" xfId="5458" xr:uid="{00000000-0005-0000-0000-00005B0A0000}"/>
    <cellStyle name="Comma 4 6 3 3 2" xfId="13897" xr:uid="{2A97893C-FF0B-4AE7-A84B-97AB9A2884D4}"/>
    <cellStyle name="Comma 4 6 3 4" xfId="9679" xr:uid="{2E63AB02-CCCE-4D18-9874-1E1E257A00BD}"/>
    <cellStyle name="Comma 4 6 4" xfId="1563" xr:uid="{00000000-0005-0000-0000-00005C0A0000}"/>
    <cellStyle name="Comma 4 6 4 2" xfId="3793" xr:uid="{00000000-0005-0000-0000-00005D0A0000}"/>
    <cellStyle name="Comma 4 6 4 2 2" xfId="8016" xr:uid="{00000000-0005-0000-0000-00005E0A0000}"/>
    <cellStyle name="Comma 4 6 4 2 2 2" xfId="16455" xr:uid="{1135ADFA-9290-48A8-8CE9-70C702D14429}"/>
    <cellStyle name="Comma 4 6 4 2 3" xfId="12237" xr:uid="{77817E50-122B-4402-A8E7-B6A96A706388}"/>
    <cellStyle name="Comma 4 6 4 3" xfId="5871" xr:uid="{00000000-0005-0000-0000-00005F0A0000}"/>
    <cellStyle name="Comma 4 6 4 3 2" xfId="14310" xr:uid="{8BA69E78-F258-4E59-831E-ABB6B982E1BC}"/>
    <cellStyle name="Comma 4 6 4 4" xfId="10092" xr:uid="{B7F3CB0B-D123-4A54-B745-A435A7D58D56}"/>
    <cellStyle name="Comma 4 6 5" xfId="1977" xr:uid="{00000000-0005-0000-0000-0000600A0000}"/>
    <cellStyle name="Comma 4 6 5 2" xfId="4206" xr:uid="{00000000-0005-0000-0000-0000610A0000}"/>
    <cellStyle name="Comma 4 6 5 2 2" xfId="8429" xr:uid="{00000000-0005-0000-0000-0000620A0000}"/>
    <cellStyle name="Comma 4 6 5 2 2 2" xfId="16868" xr:uid="{438A59AA-FDA2-43D1-ABDD-57D368E555F6}"/>
    <cellStyle name="Comma 4 6 5 2 3" xfId="12650" xr:uid="{0CF7091D-0D11-4E66-96E9-A6BEB1B4961F}"/>
    <cellStyle name="Comma 4 6 5 3" xfId="6284" xr:uid="{00000000-0005-0000-0000-0000630A0000}"/>
    <cellStyle name="Comma 4 6 5 3 2" xfId="14723" xr:uid="{C2E20D33-3F9E-41D1-809E-D6DB8FFC474B}"/>
    <cellStyle name="Comma 4 6 5 4" xfId="10505" xr:uid="{29D98622-53C2-4847-B022-902860D1BDB8}"/>
    <cellStyle name="Comma 4 6 6" xfId="2412" xr:uid="{00000000-0005-0000-0000-0000640A0000}"/>
    <cellStyle name="Comma 4 6 6 2" xfId="6697" xr:uid="{00000000-0005-0000-0000-0000650A0000}"/>
    <cellStyle name="Comma 4 6 6 2 2" xfId="15136" xr:uid="{30E689C2-E576-45AB-BB21-83ED36B9AE7C}"/>
    <cellStyle name="Comma 4 6 6 3" xfId="10918" xr:uid="{3A406237-844E-42C7-81CF-628540B6E9B3}"/>
    <cellStyle name="Comma 4 6 7" xfId="2708" xr:uid="{00000000-0005-0000-0000-0000660A0000}"/>
    <cellStyle name="Comma 4 6 8" xfId="2790" xr:uid="{00000000-0005-0000-0000-0000670A0000}"/>
    <cellStyle name="Comma 4 6 8 2" xfId="7014" xr:uid="{00000000-0005-0000-0000-0000680A0000}"/>
    <cellStyle name="Comma 4 6 8 2 2" xfId="15453" xr:uid="{FA82B0FC-79FD-4177-AF65-80CC74D062A1}"/>
    <cellStyle name="Comma 4 6 8 3" xfId="11235" xr:uid="{7E29CE38-AA7A-4428-A9F6-D44465EAC0B3}"/>
    <cellStyle name="Comma 4 6 9" xfId="4631" xr:uid="{00000000-0005-0000-0000-0000690A0000}"/>
    <cellStyle name="Comma 4 6 9 2" xfId="13070" xr:uid="{1549E9EF-F57C-41EF-BE9F-9E4A37E34752}"/>
    <cellStyle name="Comma 4 7" xfId="160" xr:uid="{00000000-0005-0000-0000-00006A0A0000}"/>
    <cellStyle name="Comma 4 7 10" xfId="8853" xr:uid="{E61611F7-22AA-4298-80A5-F23FDCBE59E5}"/>
    <cellStyle name="Comma 4 7 2" xfId="697" xr:uid="{00000000-0005-0000-0000-00006B0A0000}"/>
    <cellStyle name="Comma 4 7 2 2" xfId="2968" xr:uid="{00000000-0005-0000-0000-00006C0A0000}"/>
    <cellStyle name="Comma 4 7 2 2 2" xfId="7191" xr:uid="{00000000-0005-0000-0000-00006D0A0000}"/>
    <cellStyle name="Comma 4 7 2 2 2 2" xfId="15630" xr:uid="{03112C4C-23A6-4362-9088-106DB88E5EDA}"/>
    <cellStyle name="Comma 4 7 2 2 3" xfId="11412" xr:uid="{AA99E1AD-98B8-4D3A-8ED9-C89B556BC952}"/>
    <cellStyle name="Comma 4 7 2 3" xfId="5046" xr:uid="{00000000-0005-0000-0000-00006E0A0000}"/>
    <cellStyle name="Comma 4 7 2 3 2" xfId="13485" xr:uid="{AC31B7F5-20DA-4C21-8720-3818FEC4AE99}"/>
    <cellStyle name="Comma 4 7 2 4" xfId="9267" xr:uid="{E1195EF2-872E-4A5C-B9B5-5BC33E443FB3}"/>
    <cellStyle name="Comma 4 7 3" xfId="1150" xr:uid="{00000000-0005-0000-0000-00006F0A0000}"/>
    <cellStyle name="Comma 4 7 3 2" xfId="3381" xr:uid="{00000000-0005-0000-0000-0000700A0000}"/>
    <cellStyle name="Comma 4 7 3 2 2" xfId="7604" xr:uid="{00000000-0005-0000-0000-0000710A0000}"/>
    <cellStyle name="Comma 4 7 3 2 2 2" xfId="16043" xr:uid="{FE6EABCA-5065-4036-936F-7B270460B32A}"/>
    <cellStyle name="Comma 4 7 3 2 3" xfId="11825" xr:uid="{FD379FED-CA27-4AB5-985C-9D9AAA54F090}"/>
    <cellStyle name="Comma 4 7 3 3" xfId="5459" xr:uid="{00000000-0005-0000-0000-0000720A0000}"/>
    <cellStyle name="Comma 4 7 3 3 2" xfId="13898" xr:uid="{C55B2299-E091-44C1-8CCE-2E401102D55A}"/>
    <cellStyle name="Comma 4 7 3 4" xfId="9680" xr:uid="{77661744-A5FB-4ACD-A4A7-41591038CF92}"/>
    <cellStyle name="Comma 4 7 4" xfId="1564" xr:uid="{00000000-0005-0000-0000-0000730A0000}"/>
    <cellStyle name="Comma 4 7 4 2" xfId="3794" xr:uid="{00000000-0005-0000-0000-0000740A0000}"/>
    <cellStyle name="Comma 4 7 4 2 2" xfId="8017" xr:uid="{00000000-0005-0000-0000-0000750A0000}"/>
    <cellStyle name="Comma 4 7 4 2 2 2" xfId="16456" xr:uid="{1B909791-EA84-4D75-B122-405111CA90A4}"/>
    <cellStyle name="Comma 4 7 4 2 3" xfId="12238" xr:uid="{4C314FF1-6B02-41F0-9203-575B45448D71}"/>
    <cellStyle name="Comma 4 7 4 3" xfId="5872" xr:uid="{00000000-0005-0000-0000-0000760A0000}"/>
    <cellStyle name="Comma 4 7 4 3 2" xfId="14311" xr:uid="{ABCDCEE0-DCB1-4462-A72A-ECD38E1A4A1E}"/>
    <cellStyle name="Comma 4 7 4 4" xfId="10093" xr:uid="{B75EE156-87E3-43BE-9D7A-3A6F54417C44}"/>
    <cellStyle name="Comma 4 7 5" xfId="1978" xr:uid="{00000000-0005-0000-0000-0000770A0000}"/>
    <cellStyle name="Comma 4 7 5 2" xfId="4207" xr:uid="{00000000-0005-0000-0000-0000780A0000}"/>
    <cellStyle name="Comma 4 7 5 2 2" xfId="8430" xr:uid="{00000000-0005-0000-0000-0000790A0000}"/>
    <cellStyle name="Comma 4 7 5 2 2 2" xfId="16869" xr:uid="{45AA152C-E1D9-40C1-94D9-BE113A423BC5}"/>
    <cellStyle name="Comma 4 7 5 2 3" xfId="12651" xr:uid="{959155E5-E753-45F4-B702-E6DD5C18FE6B}"/>
    <cellStyle name="Comma 4 7 5 3" xfId="6285" xr:uid="{00000000-0005-0000-0000-00007A0A0000}"/>
    <cellStyle name="Comma 4 7 5 3 2" xfId="14724" xr:uid="{0967FD3A-B90D-4625-B750-4DD160182388}"/>
    <cellStyle name="Comma 4 7 5 4" xfId="10506" xr:uid="{A30CD632-8B2B-4CFF-BA84-FDF8F2747478}"/>
    <cellStyle name="Comma 4 7 6" xfId="2413" xr:uid="{00000000-0005-0000-0000-00007B0A0000}"/>
    <cellStyle name="Comma 4 7 6 2" xfId="6698" xr:uid="{00000000-0005-0000-0000-00007C0A0000}"/>
    <cellStyle name="Comma 4 7 6 2 2" xfId="15137" xr:uid="{36D0B3C6-6F6F-4531-AFA8-21BFC1D8D720}"/>
    <cellStyle name="Comma 4 7 6 3" xfId="10919" xr:uid="{0214E52F-63D7-4C92-B440-F1CC2EB80A94}"/>
    <cellStyle name="Comma 4 7 7" xfId="2709" xr:uid="{00000000-0005-0000-0000-00007D0A0000}"/>
    <cellStyle name="Comma 4 7 8" xfId="2791" xr:uid="{00000000-0005-0000-0000-00007E0A0000}"/>
    <cellStyle name="Comma 4 7 8 2" xfId="7015" xr:uid="{00000000-0005-0000-0000-00007F0A0000}"/>
    <cellStyle name="Comma 4 7 8 2 2" xfId="15454" xr:uid="{BA95C0A0-74A1-4BDB-948B-7CE0881015CE}"/>
    <cellStyle name="Comma 4 7 8 3" xfId="11236" xr:uid="{81BC4941-E86A-482C-8CE8-36B69D91BF6B}"/>
    <cellStyle name="Comma 4 7 9" xfId="4632" xr:uid="{00000000-0005-0000-0000-0000800A0000}"/>
    <cellStyle name="Comma 4 7 9 2" xfId="13071" xr:uid="{65CE83EB-CB56-42DF-92D4-9166B3E2BA3E}"/>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5BE05DEF-406F-41BF-A558-887F025E6C1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224DAA3A-4A2A-4041-98EC-77D3ED78069C}"/>
    <cellStyle name="Currency 14 3" xfId="8720" xr:uid="{729B09A7-2394-4D7C-912C-1471FB3455A3}"/>
    <cellStyle name="Currency 14 3 2" xfId="8724" xr:uid="{1945FB0F-31EC-4D98-B64C-BAFBADA341A1}"/>
    <cellStyle name="Currency 14 3 2 2" xfId="17162" xr:uid="{6B76B356-B42F-451B-B271-1DA8B6C2AE0B}"/>
    <cellStyle name="Currency 14 3 3" xfId="17159" xr:uid="{D7A47A0C-D591-4333-9CFF-F569B1017CC9}"/>
    <cellStyle name="Currency 14 4" xfId="12942" xr:uid="{16849A37-F7E9-4E1F-BE93-4A4DA642B89B}"/>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F89F090F-D394-4566-AD3F-C36FEF862C71}"/>
    <cellStyle name="Currency 3 2 2 10 3" xfId="11237" xr:uid="{887B511B-801A-409F-A021-7C7803D6E6E4}"/>
    <cellStyle name="Currency 3 2 2 11" xfId="4633" xr:uid="{00000000-0005-0000-0000-0000A50A0000}"/>
    <cellStyle name="Currency 3 2 2 11 2" xfId="13072" xr:uid="{023828A4-6A5F-4238-B8A6-119E060D77E9}"/>
    <cellStyle name="Currency 3 2 2 12" xfId="8854" xr:uid="{7A8F1406-886C-4520-9E39-60DB8D62342E}"/>
    <cellStyle name="Currency 3 2 2 2" xfId="179" xr:uid="{00000000-0005-0000-0000-0000A60A0000}"/>
    <cellStyle name="Currency 3 2 2 2 10" xfId="4634" xr:uid="{00000000-0005-0000-0000-0000A70A0000}"/>
    <cellStyle name="Currency 3 2 2 2 10 2" xfId="13073" xr:uid="{AD54049E-F7EF-4C5D-8A23-35868456AB23}"/>
    <cellStyle name="Currency 3 2 2 2 11" xfId="8855" xr:uid="{B97B637D-1C44-499F-977D-F0B6145B05EF}"/>
    <cellStyle name="Currency 3 2 2 2 2" xfId="180" xr:uid="{00000000-0005-0000-0000-0000A80A0000}"/>
    <cellStyle name="Currency 3 2 2 2 2 10" xfId="8856" xr:uid="{AA6AFD1A-A829-4BBA-BDFF-3E331DAF1314}"/>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A79A7381-CBAD-42B4-A182-C3189AB5354A}"/>
    <cellStyle name="Currency 3 2 2 2 2 2 2 3" xfId="11415" xr:uid="{31AABEB7-9BB3-47B3-A342-EF39F4D01865}"/>
    <cellStyle name="Currency 3 2 2 2 2 2 3" xfId="5049" xr:uid="{00000000-0005-0000-0000-0000AC0A0000}"/>
    <cellStyle name="Currency 3 2 2 2 2 2 3 2" xfId="13488" xr:uid="{40616DA0-626B-4C5D-84DB-FEBC3EE8C505}"/>
    <cellStyle name="Currency 3 2 2 2 2 2 4" xfId="9270" xr:uid="{7975BA6F-D143-4255-AEA9-66E82B894DFF}"/>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EFE37044-AEAD-4FAE-B3C2-8736EA6C1F44}"/>
    <cellStyle name="Currency 3 2 2 2 2 3 2 3" xfId="11828" xr:uid="{127FB67A-547A-446F-B94D-009A09E875DA}"/>
    <cellStyle name="Currency 3 2 2 2 2 3 3" xfId="5462" xr:uid="{00000000-0005-0000-0000-0000B00A0000}"/>
    <cellStyle name="Currency 3 2 2 2 2 3 3 2" xfId="13901" xr:uid="{FD53E7DF-F591-490C-8ADF-BCEC380442B5}"/>
    <cellStyle name="Currency 3 2 2 2 2 3 4" xfId="9683" xr:uid="{7CD3B3AF-780E-4915-B1ED-9D2F660A8404}"/>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DEDD4D0F-40AC-44C7-9C5A-421510A9E6AC}"/>
    <cellStyle name="Currency 3 2 2 2 2 4 2 3" xfId="12241" xr:uid="{B1777091-B66C-4D81-AE39-FD649452C0F9}"/>
    <cellStyle name="Currency 3 2 2 2 2 4 3" xfId="5875" xr:uid="{00000000-0005-0000-0000-0000B40A0000}"/>
    <cellStyle name="Currency 3 2 2 2 2 4 3 2" xfId="14314" xr:uid="{64F53214-172C-4DC6-AA9E-32A4D6D5F276}"/>
    <cellStyle name="Currency 3 2 2 2 2 4 4" xfId="10096" xr:uid="{40776777-1F90-487F-8ED9-FA10343C6E1A}"/>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D68C3BEE-C9DA-4AB1-86B4-0919882B714D}"/>
    <cellStyle name="Currency 3 2 2 2 2 5 2 3" xfId="12654" xr:uid="{A3BC2AEA-711F-42A4-92E4-D9FCEA315527}"/>
    <cellStyle name="Currency 3 2 2 2 2 5 3" xfId="6288" xr:uid="{00000000-0005-0000-0000-0000B80A0000}"/>
    <cellStyle name="Currency 3 2 2 2 2 5 3 2" xfId="14727" xr:uid="{EEDAF5A8-D301-4284-9BFE-502E0C832EE3}"/>
    <cellStyle name="Currency 3 2 2 2 2 5 4" xfId="10509" xr:uid="{928814A2-14A3-4421-AB9A-03A7C602823F}"/>
    <cellStyle name="Currency 3 2 2 2 2 6" xfId="2416" xr:uid="{00000000-0005-0000-0000-0000B90A0000}"/>
    <cellStyle name="Currency 3 2 2 2 2 6 2" xfId="6701" xr:uid="{00000000-0005-0000-0000-0000BA0A0000}"/>
    <cellStyle name="Currency 3 2 2 2 2 6 2 2" xfId="15140" xr:uid="{46915F4E-29BF-46FA-8D6C-EAD974F86871}"/>
    <cellStyle name="Currency 3 2 2 2 2 6 3" xfId="10922" xr:uid="{37A987D9-DEFA-4A5F-95A8-6823E77F997B}"/>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6AB8B640-531C-46EB-94DE-F0F4335276F3}"/>
    <cellStyle name="Currency 3 2 2 2 2 8 3" xfId="11239" xr:uid="{C154AD37-5F43-4951-8463-3BD6823F9EDE}"/>
    <cellStyle name="Currency 3 2 2 2 2 9" xfId="4635" xr:uid="{00000000-0005-0000-0000-0000BE0A0000}"/>
    <cellStyle name="Currency 3 2 2 2 2 9 2" xfId="13074" xr:uid="{F877157C-EA5D-4555-9311-70C1F2F9E51D}"/>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2D1DB427-231F-4798-9AB0-86186F7A91B2}"/>
    <cellStyle name="Currency 3 2 2 2 3 2 3" xfId="11414" xr:uid="{8CD566B8-5913-4901-9208-142C11C64707}"/>
    <cellStyle name="Currency 3 2 2 2 3 3" xfId="5048" xr:uid="{00000000-0005-0000-0000-0000C20A0000}"/>
    <cellStyle name="Currency 3 2 2 2 3 3 2" xfId="13487" xr:uid="{90D9DB0B-E416-40A6-A1BD-7A8C527000E4}"/>
    <cellStyle name="Currency 3 2 2 2 3 4" xfId="9269" xr:uid="{060FC2F3-7786-4979-85FF-B4B398722BE9}"/>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864EA408-20E4-4281-A2A5-B531EEC201A7}"/>
    <cellStyle name="Currency 3 2 2 2 4 2 3" xfId="11827" xr:uid="{737126C9-213E-4A69-BB80-779566803FD3}"/>
    <cellStyle name="Currency 3 2 2 2 4 3" xfId="5461" xr:uid="{00000000-0005-0000-0000-0000C60A0000}"/>
    <cellStyle name="Currency 3 2 2 2 4 3 2" xfId="13900" xr:uid="{937BBDEF-A15A-478A-9D1A-13B1369367CC}"/>
    <cellStyle name="Currency 3 2 2 2 4 4" xfId="9682" xr:uid="{FBBC0FD1-34A5-4063-8BB1-5C629E727A44}"/>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37AFD8C2-64E9-41A2-9138-2728E36CBF3E}"/>
    <cellStyle name="Currency 3 2 2 2 5 2 3" xfId="12240" xr:uid="{EE596150-8B32-4356-8286-C673B92057D1}"/>
    <cellStyle name="Currency 3 2 2 2 5 3" xfId="5874" xr:uid="{00000000-0005-0000-0000-0000CA0A0000}"/>
    <cellStyle name="Currency 3 2 2 2 5 3 2" xfId="14313" xr:uid="{ED363B52-FC5A-4204-AF9C-E5F5AB888C77}"/>
    <cellStyle name="Currency 3 2 2 2 5 4" xfId="10095" xr:uid="{F6546484-0281-4540-83EF-0F03B3E268D9}"/>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2B79A3BC-0A72-47B0-82AC-2123234977E5}"/>
    <cellStyle name="Currency 3 2 2 2 6 2 3" xfId="12653" xr:uid="{C319934C-249D-4E80-A821-474D394FEA93}"/>
    <cellStyle name="Currency 3 2 2 2 6 3" xfId="6287" xr:uid="{00000000-0005-0000-0000-0000CE0A0000}"/>
    <cellStyle name="Currency 3 2 2 2 6 3 2" xfId="14726" xr:uid="{8395E084-DD5E-47F8-AFA0-552620B81ED9}"/>
    <cellStyle name="Currency 3 2 2 2 6 4" xfId="10508" xr:uid="{5ACF403E-956C-4A3C-8623-1BE7AC68A6DE}"/>
    <cellStyle name="Currency 3 2 2 2 7" xfId="2415" xr:uid="{00000000-0005-0000-0000-0000CF0A0000}"/>
    <cellStyle name="Currency 3 2 2 2 7 2" xfId="6700" xr:uid="{00000000-0005-0000-0000-0000D00A0000}"/>
    <cellStyle name="Currency 3 2 2 2 7 2 2" xfId="15139" xr:uid="{3906191D-C471-4F4A-A136-5ABB1109C46E}"/>
    <cellStyle name="Currency 3 2 2 2 7 3" xfId="10921" xr:uid="{56B24530-4D03-4A21-95AC-9302C44A57BB}"/>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D8A48CF0-0A15-4399-B239-DA551622B24A}"/>
    <cellStyle name="Currency 3 2 2 2 9 3" xfId="11238" xr:uid="{C71B7EB6-BFE8-4C5B-90AE-018D88865122}"/>
    <cellStyle name="Currency 3 2 2 3" xfId="181" xr:uid="{00000000-0005-0000-0000-0000D40A0000}"/>
    <cellStyle name="Currency 3 2 2 3 10" xfId="8857" xr:uid="{91A3CB0A-F1D8-4C45-8731-30061F54923A}"/>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A83ADC53-3E12-4E49-B266-1E88904E997E}"/>
    <cellStyle name="Currency 3 2 2 3 2 2 3" xfId="11416" xr:uid="{0DE005AA-BB0F-4A85-8968-57F68EB3C676}"/>
    <cellStyle name="Currency 3 2 2 3 2 3" xfId="5050" xr:uid="{00000000-0005-0000-0000-0000D80A0000}"/>
    <cellStyle name="Currency 3 2 2 3 2 3 2" xfId="13489" xr:uid="{0CDC2ACF-9ECD-4B6A-9970-0842B3F87EB4}"/>
    <cellStyle name="Currency 3 2 2 3 2 4" xfId="9271" xr:uid="{DCBAFE54-2127-472E-8DAD-7986045AD508}"/>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12CE0E2B-4415-429A-9A36-721B3E34CEF1}"/>
    <cellStyle name="Currency 3 2 2 3 3 2 3" xfId="11829" xr:uid="{753D3CE6-0F52-4BA0-BCE5-4786F6D13D3A}"/>
    <cellStyle name="Currency 3 2 2 3 3 3" xfId="5463" xr:uid="{00000000-0005-0000-0000-0000DC0A0000}"/>
    <cellStyle name="Currency 3 2 2 3 3 3 2" xfId="13902" xr:uid="{F7A1107A-4A22-4D99-A667-C1F430C4E67F}"/>
    <cellStyle name="Currency 3 2 2 3 3 4" xfId="9684" xr:uid="{8B2EC344-2992-46EB-A462-8BCF8A5BA743}"/>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347A30EE-048C-44C6-81C8-D6D124A9CE52}"/>
    <cellStyle name="Currency 3 2 2 3 4 2 3" xfId="12242" xr:uid="{2E7EF5D1-1868-4A96-99D1-11ED901C4AF2}"/>
    <cellStyle name="Currency 3 2 2 3 4 3" xfId="5876" xr:uid="{00000000-0005-0000-0000-0000E00A0000}"/>
    <cellStyle name="Currency 3 2 2 3 4 3 2" xfId="14315" xr:uid="{D4AA6E76-5F1A-4A97-8D09-BD1A4F8004F4}"/>
    <cellStyle name="Currency 3 2 2 3 4 4" xfId="10097" xr:uid="{F17038A9-8AAA-4EBE-8CF5-E4EB6D20699F}"/>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A2BFC71E-ED54-4458-B8B5-8571B3A29FB6}"/>
    <cellStyle name="Currency 3 2 2 3 5 2 3" xfId="12655" xr:uid="{779E0392-2FAD-4F1A-8105-1C4EB575A735}"/>
    <cellStyle name="Currency 3 2 2 3 5 3" xfId="6289" xr:uid="{00000000-0005-0000-0000-0000E40A0000}"/>
    <cellStyle name="Currency 3 2 2 3 5 3 2" xfId="14728" xr:uid="{D9CAE46C-2A3C-4F51-8A46-A78E248C91AF}"/>
    <cellStyle name="Currency 3 2 2 3 5 4" xfId="10510" xr:uid="{131DBA2A-867C-4C44-A4F0-DC7989BB0280}"/>
    <cellStyle name="Currency 3 2 2 3 6" xfId="2417" xr:uid="{00000000-0005-0000-0000-0000E50A0000}"/>
    <cellStyle name="Currency 3 2 2 3 6 2" xfId="6702" xr:uid="{00000000-0005-0000-0000-0000E60A0000}"/>
    <cellStyle name="Currency 3 2 2 3 6 2 2" xfId="15141" xr:uid="{1D3D49EF-2280-49F3-B5DC-02ED5FDF153D}"/>
    <cellStyle name="Currency 3 2 2 3 6 3" xfId="10923" xr:uid="{19D6B9BB-DD99-433F-BC81-EBEACB98FEBE}"/>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1319EB34-8224-4C5D-921A-6A2843F2E7F7}"/>
    <cellStyle name="Currency 3 2 2 3 8 3" xfId="11240" xr:uid="{34D1F90C-A502-48AA-9C20-28F1DD5B3E8C}"/>
    <cellStyle name="Currency 3 2 2 3 9" xfId="4636" xr:uid="{00000000-0005-0000-0000-0000EA0A0000}"/>
    <cellStyle name="Currency 3 2 2 3 9 2" xfId="13075" xr:uid="{F5354D71-4049-40AE-890A-02368EBBD95E}"/>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42130566-14E7-425E-B659-03185D635A27}"/>
    <cellStyle name="Currency 3 2 2 4 2 3" xfId="11413" xr:uid="{7E485E2F-9CE3-4059-A3AF-3CE0B62442C5}"/>
    <cellStyle name="Currency 3 2 2 4 3" xfId="5047" xr:uid="{00000000-0005-0000-0000-0000EE0A0000}"/>
    <cellStyle name="Currency 3 2 2 4 3 2" xfId="13486" xr:uid="{379C535D-F485-4511-BB98-E65FAB966550}"/>
    <cellStyle name="Currency 3 2 2 4 4" xfId="9268" xr:uid="{722C804B-1A2F-4F78-A47C-DB69810A57C8}"/>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AB358A3B-2665-4DE6-84FE-CC4A7B9CE1B8}"/>
    <cellStyle name="Currency 3 2 2 5 2 3" xfId="11826" xr:uid="{A18F9FF6-02E5-4CBB-955A-D03613DCA4F1}"/>
    <cellStyle name="Currency 3 2 2 5 3" xfId="5460" xr:uid="{00000000-0005-0000-0000-0000F20A0000}"/>
    <cellStyle name="Currency 3 2 2 5 3 2" xfId="13899" xr:uid="{05D7DA38-08B3-404B-B073-F04556AEE0C1}"/>
    <cellStyle name="Currency 3 2 2 5 4" xfId="9681" xr:uid="{7E369A57-4EA5-437D-AB1B-DA0C26CBFB5C}"/>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DAA2F61F-33A5-4E35-AB91-12E6F8A877F2}"/>
    <cellStyle name="Currency 3 2 2 6 2 3" xfId="12239" xr:uid="{639A45B7-55E4-4E30-B0C2-B2FEB0B125B6}"/>
    <cellStyle name="Currency 3 2 2 6 3" xfId="5873" xr:uid="{00000000-0005-0000-0000-0000F60A0000}"/>
    <cellStyle name="Currency 3 2 2 6 3 2" xfId="14312" xr:uid="{7FD48544-0684-43ED-9590-55FB162307DE}"/>
    <cellStyle name="Currency 3 2 2 6 4" xfId="10094" xr:uid="{A54A3B6C-409B-4396-89A1-A1D739A83D95}"/>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90D50552-22B9-410B-B754-202682A5133E}"/>
    <cellStyle name="Currency 3 2 2 7 2 3" xfId="12652" xr:uid="{7B3D93DF-5647-4EEF-A1FA-F01D4A759736}"/>
    <cellStyle name="Currency 3 2 2 7 3" xfId="6286" xr:uid="{00000000-0005-0000-0000-0000FA0A0000}"/>
    <cellStyle name="Currency 3 2 2 7 3 2" xfId="14725" xr:uid="{C8BAEDD9-9CC5-4BDF-989E-FB5C0D3E3FEB}"/>
    <cellStyle name="Currency 3 2 2 7 4" xfId="10507" xr:uid="{A13CCD77-8DD5-4EA1-B35D-715E317EE5E7}"/>
    <cellStyle name="Currency 3 2 2 8" xfId="2414" xr:uid="{00000000-0005-0000-0000-0000FB0A0000}"/>
    <cellStyle name="Currency 3 2 2 8 2" xfId="6699" xr:uid="{00000000-0005-0000-0000-0000FC0A0000}"/>
    <cellStyle name="Currency 3 2 2 8 2 2" xfId="15138" xr:uid="{4B164CD8-C010-42C9-AD32-1CB1D2E88824}"/>
    <cellStyle name="Currency 3 2 2 8 3" xfId="10920" xr:uid="{B68D4C01-21BF-45F0-A244-5416377C17B3}"/>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654577B7-EA0D-443A-B53D-645282F76EBF}"/>
    <cellStyle name="Currency 3 2 3 11" xfId="8858" xr:uid="{8257D0FE-E057-4952-9C16-0D3E6AE2EB09}"/>
    <cellStyle name="Currency 3 2 3 2" xfId="183" xr:uid="{00000000-0005-0000-0000-0000000B0000}"/>
    <cellStyle name="Currency 3 2 3 2 10" xfId="8859" xr:uid="{313737E8-538E-40B3-B191-6A4A971C6C08}"/>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5BD53730-3B06-4468-B315-36770E7C1E07}"/>
    <cellStyle name="Currency 3 2 3 2 2 2 3" xfId="11418" xr:uid="{00EA46D5-C906-4F0E-8A1C-0B7D620EBF78}"/>
    <cellStyle name="Currency 3 2 3 2 2 3" xfId="5052" xr:uid="{00000000-0005-0000-0000-0000040B0000}"/>
    <cellStyle name="Currency 3 2 3 2 2 3 2" xfId="13491" xr:uid="{6C257EC4-6FEA-4F63-A622-74F738624228}"/>
    <cellStyle name="Currency 3 2 3 2 2 4" xfId="9273" xr:uid="{679270B4-9ED9-4CF7-AFD4-A6BF42AB4116}"/>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F7942D4A-2740-4EB4-A797-EAB00F93097A}"/>
    <cellStyle name="Currency 3 2 3 2 3 2 3" xfId="11831" xr:uid="{D87FEE28-9F47-4EC9-BF4E-BE728114D9B4}"/>
    <cellStyle name="Currency 3 2 3 2 3 3" xfId="5465" xr:uid="{00000000-0005-0000-0000-0000080B0000}"/>
    <cellStyle name="Currency 3 2 3 2 3 3 2" xfId="13904" xr:uid="{246EFCF7-B491-4D3C-97C2-2669331C3ACD}"/>
    <cellStyle name="Currency 3 2 3 2 3 4" xfId="9686" xr:uid="{90273F01-9A58-4C45-9959-AFC3929EFDA7}"/>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C4DAEDFE-003F-4CA0-99F8-39B321C29F20}"/>
    <cellStyle name="Currency 3 2 3 2 4 2 3" xfId="12244" xr:uid="{C0B183BE-29BA-4779-904C-6F61FC7C3FAA}"/>
    <cellStyle name="Currency 3 2 3 2 4 3" xfId="5878" xr:uid="{00000000-0005-0000-0000-00000C0B0000}"/>
    <cellStyle name="Currency 3 2 3 2 4 3 2" xfId="14317" xr:uid="{3A80860C-6AF6-4B7E-9394-6EC832E53639}"/>
    <cellStyle name="Currency 3 2 3 2 4 4" xfId="10099" xr:uid="{6B28733C-A141-4121-91B4-96F7CDB7DEA2}"/>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E9BEBBBB-B424-46E1-BD3C-55AB1B496D8C}"/>
    <cellStyle name="Currency 3 2 3 2 5 2 3" xfId="12657" xr:uid="{A7AD182B-72D6-490F-A66C-B6BC2528AC6A}"/>
    <cellStyle name="Currency 3 2 3 2 5 3" xfId="6291" xr:uid="{00000000-0005-0000-0000-0000100B0000}"/>
    <cellStyle name="Currency 3 2 3 2 5 3 2" xfId="14730" xr:uid="{6FADF3D0-2747-4912-9AB6-F030507AFF64}"/>
    <cellStyle name="Currency 3 2 3 2 5 4" xfId="10512" xr:uid="{59EBC697-CB01-460F-86FC-EEBF89764A30}"/>
    <cellStyle name="Currency 3 2 3 2 6" xfId="2419" xr:uid="{00000000-0005-0000-0000-0000110B0000}"/>
    <cellStyle name="Currency 3 2 3 2 6 2" xfId="6704" xr:uid="{00000000-0005-0000-0000-0000120B0000}"/>
    <cellStyle name="Currency 3 2 3 2 6 2 2" xfId="15143" xr:uid="{6393F7C7-E4D7-4744-9569-44209AA7D1B3}"/>
    <cellStyle name="Currency 3 2 3 2 6 3" xfId="10925" xr:uid="{A41CC307-BE26-473E-8BC6-41087DE7F278}"/>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C9FABC3D-609D-4925-9846-F3212582F073}"/>
    <cellStyle name="Currency 3 2 3 2 8 3" xfId="11242" xr:uid="{E17C003F-C2DD-418E-B263-3D562301B633}"/>
    <cellStyle name="Currency 3 2 3 2 9" xfId="4638" xr:uid="{00000000-0005-0000-0000-0000160B0000}"/>
    <cellStyle name="Currency 3 2 3 2 9 2" xfId="13077" xr:uid="{B137ED4A-3C6C-448E-A22E-F597D93A4D3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76FFB88E-88D2-4443-99AB-2DD96A577D87}"/>
    <cellStyle name="Currency 3 2 3 3 2 3" xfId="11417" xr:uid="{1B8C1937-03E5-45BA-A447-ECFC03943888}"/>
    <cellStyle name="Currency 3 2 3 3 3" xfId="5051" xr:uid="{00000000-0005-0000-0000-00001A0B0000}"/>
    <cellStyle name="Currency 3 2 3 3 3 2" xfId="13490" xr:uid="{AB4680CC-BBBC-4191-B34C-D242EB359522}"/>
    <cellStyle name="Currency 3 2 3 3 4" xfId="9272" xr:uid="{B56ACCBF-00B7-4B34-9821-2E11D931490E}"/>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45719D2D-7D44-45B5-BE65-70707757B192}"/>
    <cellStyle name="Currency 3 2 3 4 2 3" xfId="11830" xr:uid="{B00894B5-EFF7-48C8-B480-7B72C354F614}"/>
    <cellStyle name="Currency 3 2 3 4 3" xfId="5464" xr:uid="{00000000-0005-0000-0000-00001E0B0000}"/>
    <cellStyle name="Currency 3 2 3 4 3 2" xfId="13903" xr:uid="{73F0E109-8890-4B38-9287-DCD49B10C854}"/>
    <cellStyle name="Currency 3 2 3 4 4" xfId="9685" xr:uid="{ECD6AC70-D597-43FA-8F5F-FFFF26FFD207}"/>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BD8FAB92-64B1-4324-BE19-1026F745997D}"/>
    <cellStyle name="Currency 3 2 3 5 2 3" xfId="12243" xr:uid="{EBFB0060-282C-459F-813E-CC6E717160A1}"/>
    <cellStyle name="Currency 3 2 3 5 3" xfId="5877" xr:uid="{00000000-0005-0000-0000-0000220B0000}"/>
    <cellStyle name="Currency 3 2 3 5 3 2" xfId="14316" xr:uid="{F96C046E-7ED5-48BF-A386-9BC4657EC667}"/>
    <cellStyle name="Currency 3 2 3 5 4" xfId="10098" xr:uid="{BF01D341-078E-4B72-84F4-9CF5FC97F5C7}"/>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CF7556C6-39F7-46E2-A912-F53AD640CBA4}"/>
    <cellStyle name="Currency 3 2 3 6 2 3" xfId="12656" xr:uid="{FA9AD71D-4971-46A0-B44A-715B8686E5DA}"/>
    <cellStyle name="Currency 3 2 3 6 3" xfId="6290" xr:uid="{00000000-0005-0000-0000-0000260B0000}"/>
    <cellStyle name="Currency 3 2 3 6 3 2" xfId="14729" xr:uid="{7DE36C66-5FF6-46DF-B915-2FBAB462CCD8}"/>
    <cellStyle name="Currency 3 2 3 6 4" xfId="10511" xr:uid="{72896467-B78E-46A4-83D2-473B7E2D21F7}"/>
    <cellStyle name="Currency 3 2 3 7" xfId="2418" xr:uid="{00000000-0005-0000-0000-0000270B0000}"/>
    <cellStyle name="Currency 3 2 3 7 2" xfId="6703" xr:uid="{00000000-0005-0000-0000-0000280B0000}"/>
    <cellStyle name="Currency 3 2 3 7 2 2" xfId="15142" xr:uid="{686A759B-3F72-42DC-9CC5-FB8DE5A73A73}"/>
    <cellStyle name="Currency 3 2 3 7 3" xfId="10924" xr:uid="{50387DDF-0B93-4DC5-AF22-C2A27DCA6B74}"/>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5D1BE929-C051-4E9E-9C1C-34CF707EBBC8}"/>
    <cellStyle name="Currency 3 2 3 9 3" xfId="11241" xr:uid="{30DE65B8-A7B5-4EC8-BB24-5E347EE66BE2}"/>
    <cellStyle name="Currency 3 2 4" xfId="184" xr:uid="{00000000-0005-0000-0000-00002C0B0000}"/>
    <cellStyle name="Currency 3 2 4 10" xfId="8860" xr:uid="{EE22397B-9B0F-432F-9D0D-D02BACC3638B}"/>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E100695E-BE4A-4ED3-AAB6-C13546384E8A}"/>
    <cellStyle name="Currency 3 2 4 2 2 3" xfId="11419" xr:uid="{199D881A-1E39-4139-808A-3DA150FEA689}"/>
    <cellStyle name="Currency 3 2 4 2 3" xfId="5053" xr:uid="{00000000-0005-0000-0000-0000300B0000}"/>
    <cellStyle name="Currency 3 2 4 2 3 2" xfId="13492" xr:uid="{CB2341E9-0754-4E69-B601-8A1573D2FDFB}"/>
    <cellStyle name="Currency 3 2 4 2 4" xfId="9274" xr:uid="{2687A9AD-5B6D-47C9-AC42-742EB3565DD6}"/>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DDAFAD52-C935-4FD0-9C92-6D6920D28BF2}"/>
    <cellStyle name="Currency 3 2 4 3 2 3" xfId="11832" xr:uid="{AB5B2197-187E-48BF-A0EB-D0025893B44F}"/>
    <cellStyle name="Currency 3 2 4 3 3" xfId="5466" xr:uid="{00000000-0005-0000-0000-0000340B0000}"/>
    <cellStyle name="Currency 3 2 4 3 3 2" xfId="13905" xr:uid="{B89EFAE5-8E87-4968-AAEF-97E5E51AA2A5}"/>
    <cellStyle name="Currency 3 2 4 3 4" xfId="9687" xr:uid="{E2F854CD-8174-4C2F-804B-74C575799F7B}"/>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8BDEF904-D25A-4B5F-8D46-7C37AF4FDF16}"/>
    <cellStyle name="Currency 3 2 4 4 2 3" xfId="12245" xr:uid="{B47D39B2-49E0-4FE0-B2CF-5C46175414B2}"/>
    <cellStyle name="Currency 3 2 4 4 3" xfId="5879" xr:uid="{00000000-0005-0000-0000-0000380B0000}"/>
    <cellStyle name="Currency 3 2 4 4 3 2" xfId="14318" xr:uid="{5D2664F6-2907-4058-AE5E-6BB9A7FD3805}"/>
    <cellStyle name="Currency 3 2 4 4 4" xfId="10100" xr:uid="{4B7E045E-2DB7-4B47-B7CE-D640177DB2D4}"/>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16949B9B-F887-436E-A6BC-2F64A7E29F1C}"/>
    <cellStyle name="Currency 3 2 4 5 2 3" xfId="12658" xr:uid="{78DA0F7B-7C14-4F58-9CE4-A9FB46F20A42}"/>
    <cellStyle name="Currency 3 2 4 5 3" xfId="6292" xr:uid="{00000000-0005-0000-0000-00003C0B0000}"/>
    <cellStyle name="Currency 3 2 4 5 3 2" xfId="14731" xr:uid="{63C52C33-918C-4DA1-812E-F12334D536F4}"/>
    <cellStyle name="Currency 3 2 4 5 4" xfId="10513" xr:uid="{20890F34-631A-4F76-9425-C4E45E02C83E}"/>
    <cellStyle name="Currency 3 2 4 6" xfId="2420" xr:uid="{00000000-0005-0000-0000-00003D0B0000}"/>
    <cellStyle name="Currency 3 2 4 6 2" xfId="6705" xr:uid="{00000000-0005-0000-0000-00003E0B0000}"/>
    <cellStyle name="Currency 3 2 4 6 2 2" xfId="15144" xr:uid="{7143963D-B116-4060-A8F0-E30EF357F651}"/>
    <cellStyle name="Currency 3 2 4 6 3" xfId="10926" xr:uid="{4E4F134F-2B3A-4F53-952F-2E7765AD32A2}"/>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35CC9D17-273E-4454-9D81-8EDB63D0B672}"/>
    <cellStyle name="Currency 3 2 4 8 3" xfId="11243" xr:uid="{89965D3A-C370-4B82-978B-6FF2A996DA1D}"/>
    <cellStyle name="Currency 3 2 4 9" xfId="4639" xr:uid="{00000000-0005-0000-0000-0000420B0000}"/>
    <cellStyle name="Currency 3 2 4 9 2" xfId="13078" xr:uid="{E9E3087A-BC28-4235-A3F2-72D0AA7A33CD}"/>
    <cellStyle name="Currency 3 2 5" xfId="185" xr:uid="{00000000-0005-0000-0000-0000430B0000}"/>
    <cellStyle name="Currency 3 2 5 10" xfId="8861" xr:uid="{442B2949-855C-402A-B590-E0B41A5B725F}"/>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C4A7DD5B-AE2E-4059-90F2-33C64617232E}"/>
    <cellStyle name="Currency 3 2 5 2 2 3" xfId="11420" xr:uid="{647358FA-755B-4DB0-A0BC-DF289622998A}"/>
    <cellStyle name="Currency 3 2 5 2 3" xfId="5054" xr:uid="{00000000-0005-0000-0000-0000470B0000}"/>
    <cellStyle name="Currency 3 2 5 2 3 2" xfId="13493" xr:uid="{2794B911-69D6-4654-B68F-DE98AD2C2979}"/>
    <cellStyle name="Currency 3 2 5 2 4" xfId="9275" xr:uid="{70C31C70-6530-4010-9D14-AB0E2144610D}"/>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67BBFB08-98ED-42C2-BDAC-D3B447788B54}"/>
    <cellStyle name="Currency 3 2 5 3 2 3" xfId="11833" xr:uid="{965024DD-F53B-4AA5-AA0E-59BE7BB5C442}"/>
    <cellStyle name="Currency 3 2 5 3 3" xfId="5467" xr:uid="{00000000-0005-0000-0000-00004B0B0000}"/>
    <cellStyle name="Currency 3 2 5 3 3 2" xfId="13906" xr:uid="{514A23AA-C376-4DF9-BB13-9D279219A4D7}"/>
    <cellStyle name="Currency 3 2 5 3 4" xfId="9688" xr:uid="{CD4F706D-4EA3-4DE7-B313-9687B246E10E}"/>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AD32C3AB-5C35-4177-B4C4-12B7CD69FCA3}"/>
    <cellStyle name="Currency 3 2 5 4 2 3" xfId="12246" xr:uid="{1D44872B-8966-4444-B688-A934BBF51C18}"/>
    <cellStyle name="Currency 3 2 5 4 3" xfId="5880" xr:uid="{00000000-0005-0000-0000-00004F0B0000}"/>
    <cellStyle name="Currency 3 2 5 4 3 2" xfId="14319" xr:uid="{C4F962AD-47BE-4346-878A-41FC655DF92B}"/>
    <cellStyle name="Currency 3 2 5 4 4" xfId="10101" xr:uid="{0DB847A4-8AB2-435B-9F03-3BE686E6A5BB}"/>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3B279564-4F4A-4B64-A5BE-6BF54B0EC5FC}"/>
    <cellStyle name="Currency 3 2 5 5 2 3" xfId="12659" xr:uid="{93E2AECC-8274-457A-B291-5792B46E5DC2}"/>
    <cellStyle name="Currency 3 2 5 5 3" xfId="6293" xr:uid="{00000000-0005-0000-0000-0000530B0000}"/>
    <cellStyle name="Currency 3 2 5 5 3 2" xfId="14732" xr:uid="{04BAF2C4-63A7-48E9-9BBD-65377FED0DF3}"/>
    <cellStyle name="Currency 3 2 5 5 4" xfId="10514" xr:uid="{79EBFEEC-57BE-4C22-97C5-1DEA3C35409F}"/>
    <cellStyle name="Currency 3 2 5 6" xfId="2421" xr:uid="{00000000-0005-0000-0000-0000540B0000}"/>
    <cellStyle name="Currency 3 2 5 6 2" xfId="6706" xr:uid="{00000000-0005-0000-0000-0000550B0000}"/>
    <cellStyle name="Currency 3 2 5 6 2 2" xfId="15145" xr:uid="{DAD7120A-8EE5-4AF7-B4DE-26A95968B3A0}"/>
    <cellStyle name="Currency 3 2 5 6 3" xfId="10927" xr:uid="{94E32B62-80D0-4325-9D7F-7D1A64575D87}"/>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7D9725D4-34ED-4712-B24E-C6A93AB0722A}"/>
    <cellStyle name="Currency 3 2 5 8 3" xfId="11244" xr:uid="{8C5441F8-9BED-473D-A547-DB2C6ED7CDCA}"/>
    <cellStyle name="Currency 3 2 5 9" xfId="4640" xr:uid="{00000000-0005-0000-0000-0000590B0000}"/>
    <cellStyle name="Currency 3 2 5 9 2" xfId="13079" xr:uid="{71F1A79D-EC46-4774-83DA-4897880393A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3BD4060B-B632-41FF-8318-7C57F82AF5DC}"/>
    <cellStyle name="Currency 5 2 2 2 10 3" xfId="11245" xr:uid="{E684E564-BEDD-43E5-BC34-EC0693D102C4}"/>
    <cellStyle name="Currency 5 2 2 2 11" xfId="4641" xr:uid="{00000000-0005-0000-0000-00006C0B0000}"/>
    <cellStyle name="Currency 5 2 2 2 11 2" xfId="13080" xr:uid="{3DF54050-BCEE-4C4D-A3D9-74EB61320C41}"/>
    <cellStyle name="Currency 5 2 2 2 12" xfId="8862" xr:uid="{4EBACB75-98BF-4929-8902-95AD15BB9FCA}"/>
    <cellStyle name="Currency 5 2 2 2 2" xfId="197" xr:uid="{00000000-0005-0000-0000-00006D0B0000}"/>
    <cellStyle name="Currency 5 2 2 2 2 10" xfId="4642" xr:uid="{00000000-0005-0000-0000-00006E0B0000}"/>
    <cellStyle name="Currency 5 2 2 2 2 10 2" xfId="13081" xr:uid="{25274849-36DE-4C3D-A6AA-C7C5963912DC}"/>
    <cellStyle name="Currency 5 2 2 2 2 11" xfId="8863" xr:uid="{8D660B18-A0FD-49F2-81D2-4A924B7FDC82}"/>
    <cellStyle name="Currency 5 2 2 2 2 2" xfId="198" xr:uid="{00000000-0005-0000-0000-00006F0B0000}"/>
    <cellStyle name="Currency 5 2 2 2 2 2 10" xfId="8864" xr:uid="{B09DA3BB-A22B-4ED3-9D58-B2CC92B16FE4}"/>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C4805388-EF77-4F40-9B55-706E90AAA4D4}"/>
    <cellStyle name="Currency 5 2 2 2 2 2 2 2 3" xfId="11423" xr:uid="{09AEF43B-5EAD-4A78-AC91-5F892DD132C4}"/>
    <cellStyle name="Currency 5 2 2 2 2 2 2 3" xfId="5057" xr:uid="{00000000-0005-0000-0000-0000730B0000}"/>
    <cellStyle name="Currency 5 2 2 2 2 2 2 3 2" xfId="13496" xr:uid="{6B64F4F0-4B80-4959-A8BA-994FE3434B3F}"/>
    <cellStyle name="Currency 5 2 2 2 2 2 2 4" xfId="9278" xr:uid="{212D0660-8493-4A22-B98F-19F1265D6A8C}"/>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30A60003-BD27-4151-9672-094A51CA285D}"/>
    <cellStyle name="Currency 5 2 2 2 2 2 3 2 3" xfId="11836" xr:uid="{99DEE939-7B21-473E-88B8-AA1DD79F75EB}"/>
    <cellStyle name="Currency 5 2 2 2 2 2 3 3" xfId="5470" xr:uid="{00000000-0005-0000-0000-0000770B0000}"/>
    <cellStyle name="Currency 5 2 2 2 2 2 3 3 2" xfId="13909" xr:uid="{B7DE2048-4290-4FF1-8AD9-10DECB8DFA16}"/>
    <cellStyle name="Currency 5 2 2 2 2 2 3 4" xfId="9691" xr:uid="{B5673D7E-13CA-444F-92C0-0ED877AD5AC9}"/>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ECCB8A5F-BA1B-43F7-BA3B-079338084AC1}"/>
    <cellStyle name="Currency 5 2 2 2 2 2 4 2 3" xfId="12249" xr:uid="{6DD67413-A2C4-4C2C-BA8F-24A63388C8A8}"/>
    <cellStyle name="Currency 5 2 2 2 2 2 4 3" xfId="5883" xr:uid="{00000000-0005-0000-0000-00007B0B0000}"/>
    <cellStyle name="Currency 5 2 2 2 2 2 4 3 2" xfId="14322" xr:uid="{C19929CA-7D6C-44CF-AFE4-2678CF480435}"/>
    <cellStyle name="Currency 5 2 2 2 2 2 4 4" xfId="10104" xr:uid="{A6C52B0E-424A-499A-A0A8-86C37B5A8B5A}"/>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557C198E-87D9-4BCB-B378-334559F2ED4B}"/>
    <cellStyle name="Currency 5 2 2 2 2 2 5 2 3" xfId="12662" xr:uid="{62D463FA-09DA-4E07-ACAB-E3CBCDC98B02}"/>
    <cellStyle name="Currency 5 2 2 2 2 2 5 3" xfId="6296" xr:uid="{00000000-0005-0000-0000-00007F0B0000}"/>
    <cellStyle name="Currency 5 2 2 2 2 2 5 3 2" xfId="14735" xr:uid="{EB561F6E-9E5F-4821-BB11-FEF05E417343}"/>
    <cellStyle name="Currency 5 2 2 2 2 2 5 4" xfId="10517" xr:uid="{BFCD9609-65C7-4441-AFC5-9BCDF2887011}"/>
    <cellStyle name="Currency 5 2 2 2 2 2 6" xfId="2424" xr:uid="{00000000-0005-0000-0000-0000800B0000}"/>
    <cellStyle name="Currency 5 2 2 2 2 2 6 2" xfId="6709" xr:uid="{00000000-0005-0000-0000-0000810B0000}"/>
    <cellStyle name="Currency 5 2 2 2 2 2 6 2 2" xfId="15148" xr:uid="{E19904B0-D395-4728-8D3B-11ECFE2E0F95}"/>
    <cellStyle name="Currency 5 2 2 2 2 2 6 3" xfId="10930" xr:uid="{68419973-F968-42E8-967E-FF4FE0BD885F}"/>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383D4772-C843-467B-9157-E96032128626}"/>
    <cellStyle name="Currency 5 2 2 2 2 2 8 3" xfId="11247" xr:uid="{4FC10FEC-0A0E-4EC2-8F30-78CF88F6A93A}"/>
    <cellStyle name="Currency 5 2 2 2 2 2 9" xfId="4643" xr:uid="{00000000-0005-0000-0000-0000850B0000}"/>
    <cellStyle name="Currency 5 2 2 2 2 2 9 2" xfId="13082" xr:uid="{9584739C-6240-44EB-B0E6-126D7A9B4E14}"/>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A23E8B0E-2F49-4498-BA8E-CC45DDE2600A}"/>
    <cellStyle name="Currency 5 2 2 2 2 3 2 3" xfId="11422" xr:uid="{0385E904-BFA3-4F1D-AE71-DC2AB49D2142}"/>
    <cellStyle name="Currency 5 2 2 2 2 3 3" xfId="5056" xr:uid="{00000000-0005-0000-0000-0000890B0000}"/>
    <cellStyle name="Currency 5 2 2 2 2 3 3 2" xfId="13495" xr:uid="{E45FADA4-F93E-4F65-9BD3-3841FA59626D}"/>
    <cellStyle name="Currency 5 2 2 2 2 3 4" xfId="9277" xr:uid="{2370F714-099A-4A53-9772-2998FD5636DC}"/>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D04DA53E-6201-46AA-9FBF-236A04953238}"/>
    <cellStyle name="Currency 5 2 2 2 2 4 2 3" xfId="11835" xr:uid="{3DF4054C-9D05-44AE-BB49-E5C78057A9FA}"/>
    <cellStyle name="Currency 5 2 2 2 2 4 3" xfId="5469" xr:uid="{00000000-0005-0000-0000-00008D0B0000}"/>
    <cellStyle name="Currency 5 2 2 2 2 4 3 2" xfId="13908" xr:uid="{459739F5-9954-469A-B2D0-1CE444C20B56}"/>
    <cellStyle name="Currency 5 2 2 2 2 4 4" xfId="9690" xr:uid="{DE21CEB0-788F-4443-A155-7858C95671F7}"/>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69A974B7-7721-448D-B073-B6EB83200125}"/>
    <cellStyle name="Currency 5 2 2 2 2 5 2 3" xfId="12248" xr:uid="{7EE6D506-7FC7-4BAB-94EC-765F8F4E8CE7}"/>
    <cellStyle name="Currency 5 2 2 2 2 5 3" xfId="5882" xr:uid="{00000000-0005-0000-0000-0000910B0000}"/>
    <cellStyle name="Currency 5 2 2 2 2 5 3 2" xfId="14321" xr:uid="{D86BCF57-5248-432D-811D-AC84D159816E}"/>
    <cellStyle name="Currency 5 2 2 2 2 5 4" xfId="10103" xr:uid="{3499C214-08DD-4B14-B958-8677542495B8}"/>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A28C9F94-D363-4762-9A37-3A5B7C2FBC3A}"/>
    <cellStyle name="Currency 5 2 2 2 2 6 2 3" xfId="12661" xr:uid="{BF55E27E-82FB-4698-9674-238B7F36D566}"/>
    <cellStyle name="Currency 5 2 2 2 2 6 3" xfId="6295" xr:uid="{00000000-0005-0000-0000-0000950B0000}"/>
    <cellStyle name="Currency 5 2 2 2 2 6 3 2" xfId="14734" xr:uid="{3353FEAE-55FE-442E-B889-368537BE63F6}"/>
    <cellStyle name="Currency 5 2 2 2 2 6 4" xfId="10516" xr:uid="{9F1E1236-8CBF-4AA1-85CE-E4C5F51A55C0}"/>
    <cellStyle name="Currency 5 2 2 2 2 7" xfId="2423" xr:uid="{00000000-0005-0000-0000-0000960B0000}"/>
    <cellStyle name="Currency 5 2 2 2 2 7 2" xfId="6708" xr:uid="{00000000-0005-0000-0000-0000970B0000}"/>
    <cellStyle name="Currency 5 2 2 2 2 7 2 2" xfId="15147" xr:uid="{A6A6EE33-F2B9-4094-AE21-33949B43B7C5}"/>
    <cellStyle name="Currency 5 2 2 2 2 7 3" xfId="10929" xr:uid="{509DF5E4-BF5D-4FC6-BA2E-D0CAEB34361C}"/>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43654EB8-6F7A-4053-BCF1-C61A5A942253}"/>
    <cellStyle name="Currency 5 2 2 2 2 9 3" xfId="11246" xr:uid="{03615534-D98F-4B63-A025-BFD0800FF980}"/>
    <cellStyle name="Currency 5 2 2 2 3" xfId="199" xr:uid="{00000000-0005-0000-0000-00009B0B0000}"/>
    <cellStyle name="Currency 5 2 2 2 3 10" xfId="8865" xr:uid="{BB0D8648-2477-4492-A929-3ED3CE8C89B4}"/>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4660115D-EF8A-4694-AB79-FE6EA929A2F0}"/>
    <cellStyle name="Currency 5 2 2 2 3 2 2 3" xfId="11424" xr:uid="{C3AB11B3-DDEB-45F7-91DE-36C1FBD8271D}"/>
    <cellStyle name="Currency 5 2 2 2 3 2 3" xfId="5058" xr:uid="{00000000-0005-0000-0000-00009F0B0000}"/>
    <cellStyle name="Currency 5 2 2 2 3 2 3 2" xfId="13497" xr:uid="{527B3CAC-E432-44C4-8DE7-57FDD263322C}"/>
    <cellStyle name="Currency 5 2 2 2 3 2 4" xfId="9279" xr:uid="{900EA8A7-4D83-46B0-A337-8423EB87D192}"/>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D7E58623-2065-4AD7-A8A0-993135AD61EB}"/>
    <cellStyle name="Currency 5 2 2 2 3 3 2 3" xfId="11837" xr:uid="{B125983A-8BEB-4D0E-A032-71F28B494189}"/>
    <cellStyle name="Currency 5 2 2 2 3 3 3" xfId="5471" xr:uid="{00000000-0005-0000-0000-0000A30B0000}"/>
    <cellStyle name="Currency 5 2 2 2 3 3 3 2" xfId="13910" xr:uid="{DBCB5383-DC63-412F-B400-4ED73E2DDABC}"/>
    <cellStyle name="Currency 5 2 2 2 3 3 4" xfId="9692" xr:uid="{AB6F6D8D-FC76-4360-B702-EEC0E2BD3FE3}"/>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800016E2-F3EE-4F98-BDCE-C5429B185CBB}"/>
    <cellStyle name="Currency 5 2 2 2 3 4 2 3" xfId="12250" xr:uid="{0010C6AF-69A2-47DF-B467-61D089313E90}"/>
    <cellStyle name="Currency 5 2 2 2 3 4 3" xfId="5884" xr:uid="{00000000-0005-0000-0000-0000A70B0000}"/>
    <cellStyle name="Currency 5 2 2 2 3 4 3 2" xfId="14323" xr:uid="{7C5A2A8D-CA3D-421C-9793-10B89571A952}"/>
    <cellStyle name="Currency 5 2 2 2 3 4 4" xfId="10105" xr:uid="{2EFCA93E-75F3-4D60-BFCB-04B9DA9D6DD3}"/>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7D420ECF-545C-4DB9-A701-59FC49DE9CF3}"/>
    <cellStyle name="Currency 5 2 2 2 3 5 2 3" xfId="12663" xr:uid="{A3AE7478-D4BA-412D-A566-9A1EBE95BC03}"/>
    <cellStyle name="Currency 5 2 2 2 3 5 3" xfId="6297" xr:uid="{00000000-0005-0000-0000-0000AB0B0000}"/>
    <cellStyle name="Currency 5 2 2 2 3 5 3 2" xfId="14736" xr:uid="{A5275062-6F84-4F8C-9542-DE1FC9DC6466}"/>
    <cellStyle name="Currency 5 2 2 2 3 5 4" xfId="10518" xr:uid="{8B8EA425-4A1E-4BE4-ABE2-268AB3EE1CA7}"/>
    <cellStyle name="Currency 5 2 2 2 3 6" xfId="2425" xr:uid="{00000000-0005-0000-0000-0000AC0B0000}"/>
    <cellStyle name="Currency 5 2 2 2 3 6 2" xfId="6710" xr:uid="{00000000-0005-0000-0000-0000AD0B0000}"/>
    <cellStyle name="Currency 5 2 2 2 3 6 2 2" xfId="15149" xr:uid="{DD6C61BE-F35C-4801-A195-C34FA0683530}"/>
    <cellStyle name="Currency 5 2 2 2 3 6 3" xfId="10931" xr:uid="{ED7C7162-BC95-4D76-89C9-A0C02803D264}"/>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6BC1DAEE-AF77-4AF1-B06A-8A0F3F824396}"/>
    <cellStyle name="Currency 5 2 2 2 3 8 3" xfId="11248" xr:uid="{F2C204F9-1404-4B4D-B249-994B6CA511D6}"/>
    <cellStyle name="Currency 5 2 2 2 3 9" xfId="4644" xr:uid="{00000000-0005-0000-0000-0000B10B0000}"/>
    <cellStyle name="Currency 5 2 2 2 3 9 2" xfId="13083" xr:uid="{CD78F1C7-BBAC-43A7-9929-573334DDFBD9}"/>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A55BC3F6-F6D8-4C82-88B9-0C8BFB6F8313}"/>
    <cellStyle name="Currency 5 2 2 2 4 2 3" xfId="11421" xr:uid="{DEFC3CF9-6168-4AB9-956C-272413F4E31E}"/>
    <cellStyle name="Currency 5 2 2 2 4 3" xfId="5055" xr:uid="{00000000-0005-0000-0000-0000B50B0000}"/>
    <cellStyle name="Currency 5 2 2 2 4 3 2" xfId="13494" xr:uid="{8F16144B-C46C-43C4-8963-91B52DD39102}"/>
    <cellStyle name="Currency 5 2 2 2 4 4" xfId="9276" xr:uid="{B20FF7E7-2969-4356-A9A7-5945518968BB}"/>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4B02F023-965A-4B41-88E4-AC5DC23F496A}"/>
    <cellStyle name="Currency 5 2 2 2 5 2 3" xfId="11834" xr:uid="{92030429-6D2D-42CF-AF39-3BD0D9B4A900}"/>
    <cellStyle name="Currency 5 2 2 2 5 3" xfId="5468" xr:uid="{00000000-0005-0000-0000-0000B90B0000}"/>
    <cellStyle name="Currency 5 2 2 2 5 3 2" xfId="13907" xr:uid="{607292BC-047E-4064-B5D6-F2A942556D82}"/>
    <cellStyle name="Currency 5 2 2 2 5 4" xfId="9689" xr:uid="{FEF78B0E-A33C-48C5-BB1C-9D215EA3E594}"/>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438031AE-1D98-4611-BC26-2B95A27F6561}"/>
    <cellStyle name="Currency 5 2 2 2 6 2 3" xfId="12247" xr:uid="{C4CD7E9E-BE8B-4DBC-BA03-7F06169908C0}"/>
    <cellStyle name="Currency 5 2 2 2 6 3" xfId="5881" xr:uid="{00000000-0005-0000-0000-0000BD0B0000}"/>
    <cellStyle name="Currency 5 2 2 2 6 3 2" xfId="14320" xr:uid="{E2A1AB92-E592-4BF6-ABB6-7B10163B5D17}"/>
    <cellStyle name="Currency 5 2 2 2 6 4" xfId="10102" xr:uid="{715369D2-D29D-4F99-B0DD-8116EB705E85}"/>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CBBC9BA9-A860-4BF9-AAA4-050EEE5680F7}"/>
    <cellStyle name="Currency 5 2 2 2 7 2 3" xfId="12660" xr:uid="{E6BBF2CE-7BAD-4C3A-899E-04F9D66E0E3B}"/>
    <cellStyle name="Currency 5 2 2 2 7 3" xfId="6294" xr:uid="{00000000-0005-0000-0000-0000C10B0000}"/>
    <cellStyle name="Currency 5 2 2 2 7 3 2" xfId="14733" xr:uid="{36F262D6-30DF-4960-BD64-D8E276B17320}"/>
    <cellStyle name="Currency 5 2 2 2 7 4" xfId="10515" xr:uid="{164F729E-9013-49E1-AF34-50800B0B27C5}"/>
    <cellStyle name="Currency 5 2 2 2 8" xfId="2422" xr:uid="{00000000-0005-0000-0000-0000C20B0000}"/>
    <cellStyle name="Currency 5 2 2 2 8 2" xfId="6707" xr:uid="{00000000-0005-0000-0000-0000C30B0000}"/>
    <cellStyle name="Currency 5 2 2 2 8 2 2" xfId="15146" xr:uid="{8E75D847-F6CB-4CD9-A01C-5877F3E345EE}"/>
    <cellStyle name="Currency 5 2 2 2 8 3" xfId="10928" xr:uid="{E2C14EE3-B390-4AB8-BCE3-9C1B8AAECFCD}"/>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79C87394-EE5F-4018-9036-129165DB7EED}"/>
    <cellStyle name="Currency 5 2 2 3 11" xfId="8866" xr:uid="{DF9F8265-2374-475E-A22C-F35EBF50E3C1}"/>
    <cellStyle name="Currency 5 2 2 3 2" xfId="201" xr:uid="{00000000-0005-0000-0000-0000C70B0000}"/>
    <cellStyle name="Currency 5 2 2 3 2 10" xfId="8867" xr:uid="{5AE2EF72-9B7E-49C3-90F7-4C597DBDE06D}"/>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B85254A0-AD93-4403-839D-D7D3BC267C96}"/>
    <cellStyle name="Currency 5 2 2 3 2 2 2 3" xfId="11426" xr:uid="{8C883C81-5F4F-4B97-8C6D-13F567FA2E62}"/>
    <cellStyle name="Currency 5 2 2 3 2 2 3" xfId="5060" xr:uid="{00000000-0005-0000-0000-0000CB0B0000}"/>
    <cellStyle name="Currency 5 2 2 3 2 2 3 2" xfId="13499" xr:uid="{77DA7D30-34C9-4406-A882-A9555879BBBB}"/>
    <cellStyle name="Currency 5 2 2 3 2 2 4" xfId="9281" xr:uid="{25DFDA28-8262-4405-8172-09D8FB49A0C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B646BAA5-9148-454D-A76F-4403CB0DD3A0}"/>
    <cellStyle name="Currency 5 2 2 3 2 3 2 3" xfId="11839" xr:uid="{02F2A78A-3F23-4387-9600-B0730CDEF7E4}"/>
    <cellStyle name="Currency 5 2 2 3 2 3 3" xfId="5473" xr:uid="{00000000-0005-0000-0000-0000CF0B0000}"/>
    <cellStyle name="Currency 5 2 2 3 2 3 3 2" xfId="13912" xr:uid="{E72E7D3F-2529-41D9-805A-DEED5D9362BE}"/>
    <cellStyle name="Currency 5 2 2 3 2 3 4" xfId="9694" xr:uid="{A3917E3F-C492-47EF-9AD5-B10D2E52E07E}"/>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061B4CCC-B0BD-4388-B798-3DA75E5C63BD}"/>
    <cellStyle name="Currency 5 2 2 3 2 4 2 3" xfId="12252" xr:uid="{EB374A09-7AA7-4F2B-8AFE-C810A016A764}"/>
    <cellStyle name="Currency 5 2 2 3 2 4 3" xfId="5886" xr:uid="{00000000-0005-0000-0000-0000D30B0000}"/>
    <cellStyle name="Currency 5 2 2 3 2 4 3 2" xfId="14325" xr:uid="{2D45E259-A074-45A3-BF12-57774F59BC02}"/>
    <cellStyle name="Currency 5 2 2 3 2 4 4" xfId="10107" xr:uid="{F6FFCA27-25D9-4837-801A-8E1047B142EF}"/>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60F33407-F936-4521-84BC-3FFE2D4464C8}"/>
    <cellStyle name="Currency 5 2 2 3 2 5 2 3" xfId="12665" xr:uid="{31B02A2F-9702-459B-9DC0-00E42FA9311D}"/>
    <cellStyle name="Currency 5 2 2 3 2 5 3" xfId="6299" xr:uid="{00000000-0005-0000-0000-0000D70B0000}"/>
    <cellStyle name="Currency 5 2 2 3 2 5 3 2" xfId="14738" xr:uid="{535253D4-60D2-4FA9-8B30-AD7077094D53}"/>
    <cellStyle name="Currency 5 2 2 3 2 5 4" xfId="10520" xr:uid="{067A0522-01DA-46CD-887E-5D7470038870}"/>
    <cellStyle name="Currency 5 2 2 3 2 6" xfId="2427" xr:uid="{00000000-0005-0000-0000-0000D80B0000}"/>
    <cellStyle name="Currency 5 2 2 3 2 6 2" xfId="6712" xr:uid="{00000000-0005-0000-0000-0000D90B0000}"/>
    <cellStyle name="Currency 5 2 2 3 2 6 2 2" xfId="15151" xr:uid="{265E5BA7-91A6-461D-ABA0-E6903BACA8CF}"/>
    <cellStyle name="Currency 5 2 2 3 2 6 3" xfId="10933" xr:uid="{E0DAD342-8CAF-438B-A3C0-D537EEF8A127}"/>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C9C46C7F-DE13-46F4-B50B-4F8DA7899D98}"/>
    <cellStyle name="Currency 5 2 2 3 2 8 3" xfId="11250" xr:uid="{EA51315E-5511-45EC-804C-33B4DBD8A480}"/>
    <cellStyle name="Currency 5 2 2 3 2 9" xfId="4646" xr:uid="{00000000-0005-0000-0000-0000DD0B0000}"/>
    <cellStyle name="Currency 5 2 2 3 2 9 2" xfId="13085" xr:uid="{80E6FDBD-4BC6-4E6D-8A94-85807C132B0A}"/>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C7A10684-31AF-471A-B52D-9487E6FB3D3F}"/>
    <cellStyle name="Currency 5 2 2 3 3 2 3" xfId="11425" xr:uid="{854DD753-E508-4367-B151-323D0DB3E606}"/>
    <cellStyle name="Currency 5 2 2 3 3 3" xfId="5059" xr:uid="{00000000-0005-0000-0000-0000E10B0000}"/>
    <cellStyle name="Currency 5 2 2 3 3 3 2" xfId="13498" xr:uid="{DD1B1906-2DCA-43BC-B3F9-F7FE687214F7}"/>
    <cellStyle name="Currency 5 2 2 3 3 4" xfId="9280" xr:uid="{59282C33-9E20-46A1-B00C-3D4BA2070CE4}"/>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9D2B0729-E8A9-4AA7-8D9C-7DCE65CC3087}"/>
    <cellStyle name="Currency 5 2 2 3 4 2 3" xfId="11838" xr:uid="{17C11C73-0B0E-4FBC-B505-BAFD1D942C60}"/>
    <cellStyle name="Currency 5 2 2 3 4 3" xfId="5472" xr:uid="{00000000-0005-0000-0000-0000E50B0000}"/>
    <cellStyle name="Currency 5 2 2 3 4 3 2" xfId="13911" xr:uid="{5E7F5852-7C4B-44F7-B96C-23F1211D56FD}"/>
    <cellStyle name="Currency 5 2 2 3 4 4" xfId="9693" xr:uid="{1D9EDFFF-547E-4ED2-819E-6F5421BE2231}"/>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8FF4DE37-76BB-4F21-AC25-BD2BC25684DB}"/>
    <cellStyle name="Currency 5 2 2 3 5 2 3" xfId="12251" xr:uid="{B4F95B72-918D-4F74-85E9-77F173DDF980}"/>
    <cellStyle name="Currency 5 2 2 3 5 3" xfId="5885" xr:uid="{00000000-0005-0000-0000-0000E90B0000}"/>
    <cellStyle name="Currency 5 2 2 3 5 3 2" xfId="14324" xr:uid="{5A0EC005-3D63-44EC-BAEF-BD2C75E4FDA6}"/>
    <cellStyle name="Currency 5 2 2 3 5 4" xfId="10106" xr:uid="{0D8FC9A1-8005-4037-BBCC-D7C01E4B313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3BF4593B-1AEC-4B5E-A584-A89B134D27D8}"/>
    <cellStyle name="Currency 5 2 2 3 6 2 3" xfId="12664" xr:uid="{614B409A-806B-4811-8914-FD373259BD1B}"/>
    <cellStyle name="Currency 5 2 2 3 6 3" xfId="6298" xr:uid="{00000000-0005-0000-0000-0000ED0B0000}"/>
    <cellStyle name="Currency 5 2 2 3 6 3 2" xfId="14737" xr:uid="{9FF08450-D2AE-4181-A616-9955B37128EA}"/>
    <cellStyle name="Currency 5 2 2 3 6 4" xfId="10519" xr:uid="{93F15D8B-62B4-47E3-96B7-5D9FEE36EDEA}"/>
    <cellStyle name="Currency 5 2 2 3 7" xfId="2426" xr:uid="{00000000-0005-0000-0000-0000EE0B0000}"/>
    <cellStyle name="Currency 5 2 2 3 7 2" xfId="6711" xr:uid="{00000000-0005-0000-0000-0000EF0B0000}"/>
    <cellStyle name="Currency 5 2 2 3 7 2 2" xfId="15150" xr:uid="{9700F39F-AE3B-4B45-AB6A-CA151827BAAE}"/>
    <cellStyle name="Currency 5 2 2 3 7 3" xfId="10932" xr:uid="{68CD8D37-6EEA-4DA7-822D-C0FFB2580AD5}"/>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40148565-A1DC-4A1F-8263-4097A4AF91DE}"/>
    <cellStyle name="Currency 5 2 2 3 9 3" xfId="11249" xr:uid="{79B7E4A2-63F2-4D49-BA29-A38CEC75DA42}"/>
    <cellStyle name="Currency 5 2 2 4" xfId="202" xr:uid="{00000000-0005-0000-0000-0000F30B0000}"/>
    <cellStyle name="Currency 5 2 2 4 10" xfId="8868" xr:uid="{9F4E5043-A605-4FF0-8D34-FC023227FB12}"/>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34144EC4-A024-46A8-814F-2A00EDBEFF96}"/>
    <cellStyle name="Currency 5 2 2 4 2 2 3" xfId="11427" xr:uid="{80BE2184-96A2-4F85-B266-F8DA26F1F555}"/>
    <cellStyle name="Currency 5 2 2 4 2 3" xfId="5061" xr:uid="{00000000-0005-0000-0000-0000F70B0000}"/>
    <cellStyle name="Currency 5 2 2 4 2 3 2" xfId="13500" xr:uid="{16FBC127-B219-4F7F-859B-9E19129A29FB}"/>
    <cellStyle name="Currency 5 2 2 4 2 4" xfId="9282" xr:uid="{8EA9402D-62FC-42D3-B101-97DCDF34EE4E}"/>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655C44B1-63DC-4C66-A7E8-9F2AE4AA7DFF}"/>
    <cellStyle name="Currency 5 2 2 4 3 2 3" xfId="11840" xr:uid="{A62546A7-C2BE-42D4-A682-61F51EF17F3B}"/>
    <cellStyle name="Currency 5 2 2 4 3 3" xfId="5474" xr:uid="{00000000-0005-0000-0000-0000FB0B0000}"/>
    <cellStyle name="Currency 5 2 2 4 3 3 2" xfId="13913" xr:uid="{B8625FBB-B14B-43B7-8218-DC23D2636F07}"/>
    <cellStyle name="Currency 5 2 2 4 3 4" xfId="9695" xr:uid="{F981CD0D-9A42-4D56-8E9C-F3FA2F0FFDEB}"/>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22A700A4-8B12-49A5-90BA-E557DBA1B8AB}"/>
    <cellStyle name="Currency 5 2 2 4 4 2 3" xfId="12253" xr:uid="{7B3BACB6-57B4-4006-BD11-A1A167FBB11D}"/>
    <cellStyle name="Currency 5 2 2 4 4 3" xfId="5887" xr:uid="{00000000-0005-0000-0000-0000FF0B0000}"/>
    <cellStyle name="Currency 5 2 2 4 4 3 2" xfId="14326" xr:uid="{35F951D4-945F-4F72-8F49-BA8152803088}"/>
    <cellStyle name="Currency 5 2 2 4 4 4" xfId="10108" xr:uid="{A9B60595-196C-41AA-9EC3-3BBCAE3EFD16}"/>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A08C72C7-50A2-4B45-862F-3D44BB72D84E}"/>
    <cellStyle name="Currency 5 2 2 4 5 2 3" xfId="12666" xr:uid="{B98C2620-7206-4161-8C35-D0FFC4E4EB47}"/>
    <cellStyle name="Currency 5 2 2 4 5 3" xfId="6300" xr:uid="{00000000-0005-0000-0000-0000030C0000}"/>
    <cellStyle name="Currency 5 2 2 4 5 3 2" xfId="14739" xr:uid="{3575A55C-6357-49BA-B8E2-07672A0096CD}"/>
    <cellStyle name="Currency 5 2 2 4 5 4" xfId="10521" xr:uid="{BAE1645A-7F9C-4D72-B933-61FCFAFB1A24}"/>
    <cellStyle name="Currency 5 2 2 4 6" xfId="2428" xr:uid="{00000000-0005-0000-0000-0000040C0000}"/>
    <cellStyle name="Currency 5 2 2 4 6 2" xfId="6713" xr:uid="{00000000-0005-0000-0000-0000050C0000}"/>
    <cellStyle name="Currency 5 2 2 4 6 2 2" xfId="15152" xr:uid="{7CA3854D-9096-4FB4-8D96-06BD036D7E75}"/>
    <cellStyle name="Currency 5 2 2 4 6 3" xfId="10934" xr:uid="{A5C5B88F-EEF6-4F86-BF82-279BEF78BD17}"/>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36EC33BC-9EA2-41DC-B7FE-161DA8DB4B34}"/>
    <cellStyle name="Currency 5 2 2 4 8 3" xfId="11251" xr:uid="{B5B28916-C184-4969-A852-66CFE0FDF343}"/>
    <cellStyle name="Currency 5 2 2 4 9" xfId="4647" xr:uid="{00000000-0005-0000-0000-0000090C0000}"/>
    <cellStyle name="Currency 5 2 2 4 9 2" xfId="13086" xr:uid="{E0E80F04-DF7D-400A-AAB9-4113BA537895}"/>
    <cellStyle name="Currency 5 2 2 5" xfId="203" xr:uid="{00000000-0005-0000-0000-00000A0C0000}"/>
    <cellStyle name="Currency 5 2 2 5 10" xfId="8869" xr:uid="{974D018C-6C53-4784-8FCB-EBA6D5142BAC}"/>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78DC1613-E543-47EA-91A3-F8AF0A30E92E}"/>
    <cellStyle name="Currency 5 2 2 5 2 2 3" xfId="11428" xr:uid="{99D69EF7-AB47-4B75-B6EA-F0DE706DAEE4}"/>
    <cellStyle name="Currency 5 2 2 5 2 3" xfId="5062" xr:uid="{00000000-0005-0000-0000-00000E0C0000}"/>
    <cellStyle name="Currency 5 2 2 5 2 3 2" xfId="13501" xr:uid="{4CB45D22-5A31-44D7-BAC4-D65F32F49D35}"/>
    <cellStyle name="Currency 5 2 2 5 2 4" xfId="9283" xr:uid="{F1355A42-99A2-4F67-ABFF-B7059F78A74C}"/>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77E0A92B-3AC6-4AAD-B837-75A2350C71C0}"/>
    <cellStyle name="Currency 5 2 2 5 3 2 3" xfId="11841" xr:uid="{F8F46737-24DA-4089-A0F3-CB01D15363A5}"/>
    <cellStyle name="Currency 5 2 2 5 3 3" xfId="5475" xr:uid="{00000000-0005-0000-0000-0000120C0000}"/>
    <cellStyle name="Currency 5 2 2 5 3 3 2" xfId="13914" xr:uid="{53CF06D7-D7C7-4B3D-B42D-CA4AEA984049}"/>
    <cellStyle name="Currency 5 2 2 5 3 4" xfId="9696" xr:uid="{684CAA73-61F8-4D4D-A656-12799710706E}"/>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228F8D1D-0DA4-48DD-9947-FFD19921CF79}"/>
    <cellStyle name="Currency 5 2 2 5 4 2 3" xfId="12254" xr:uid="{31F8A92D-C782-4622-970B-A577F906FAE4}"/>
    <cellStyle name="Currency 5 2 2 5 4 3" xfId="5888" xr:uid="{00000000-0005-0000-0000-0000160C0000}"/>
    <cellStyle name="Currency 5 2 2 5 4 3 2" xfId="14327" xr:uid="{152533D8-B0A8-4E91-AD6E-2187F63FED1A}"/>
    <cellStyle name="Currency 5 2 2 5 4 4" xfId="10109" xr:uid="{2BE53342-4CC2-4A89-80F7-F5E243F3F8BC}"/>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6788B9B7-9911-4F50-BBE8-5560FBDF305B}"/>
    <cellStyle name="Currency 5 2 2 5 5 2 3" xfId="12667" xr:uid="{0827C41E-EB15-4AD5-8B93-34A0B8A8CF6B}"/>
    <cellStyle name="Currency 5 2 2 5 5 3" xfId="6301" xr:uid="{00000000-0005-0000-0000-00001A0C0000}"/>
    <cellStyle name="Currency 5 2 2 5 5 3 2" xfId="14740" xr:uid="{45BEFDF5-79E4-4C1B-9F16-C600E168CA53}"/>
    <cellStyle name="Currency 5 2 2 5 5 4" xfId="10522" xr:uid="{85AFF702-FBF6-4F09-8268-00522E314176}"/>
    <cellStyle name="Currency 5 2 2 5 6" xfId="2429" xr:uid="{00000000-0005-0000-0000-00001B0C0000}"/>
    <cellStyle name="Currency 5 2 2 5 6 2" xfId="6714" xr:uid="{00000000-0005-0000-0000-00001C0C0000}"/>
    <cellStyle name="Currency 5 2 2 5 6 2 2" xfId="15153" xr:uid="{737B9287-C41A-480F-BDCA-CDE9634506E8}"/>
    <cellStyle name="Currency 5 2 2 5 6 3" xfId="10935" xr:uid="{FA69D783-7B4D-443E-ADDC-1B87C3BBA0C3}"/>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618534F6-83C9-43F0-9E43-3C7093D0E322}"/>
    <cellStyle name="Currency 5 2 2 5 8 3" xfId="11252" xr:uid="{AC63AEC6-2169-4BF7-81B8-3C39501C913D}"/>
    <cellStyle name="Currency 5 2 2 5 9" xfId="4648" xr:uid="{00000000-0005-0000-0000-0000200C0000}"/>
    <cellStyle name="Currency 5 2 2 5 9 2" xfId="13087" xr:uid="{4DBAA561-0711-4B2D-BE40-C3577904F04B}"/>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C2573DF1-1ABD-47B3-845D-E996381C33EF}"/>
    <cellStyle name="Currency 5 2 4 11" xfId="8870" xr:uid="{50CD065F-2840-4DB5-84E5-224211C02C7E}"/>
    <cellStyle name="Currency 5 2 4 2" xfId="206" xr:uid="{00000000-0005-0000-0000-0000250C0000}"/>
    <cellStyle name="Currency 5 2 4 2 10" xfId="8871" xr:uid="{C37E8EE4-028D-4EED-A13A-96280F8F792F}"/>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8A298E4D-6B17-4F83-BA75-4889FFF11AAC}"/>
    <cellStyle name="Currency 5 2 4 2 2 2 3" xfId="11430" xr:uid="{DF6DE942-4FE0-47FD-85D7-B4B39534F668}"/>
    <cellStyle name="Currency 5 2 4 2 2 3" xfId="5064" xr:uid="{00000000-0005-0000-0000-0000290C0000}"/>
    <cellStyle name="Currency 5 2 4 2 2 3 2" xfId="13503" xr:uid="{C241DD18-C5DD-4C46-A05A-76AE65558F4C}"/>
    <cellStyle name="Currency 5 2 4 2 2 4" xfId="9285" xr:uid="{28653A85-478E-4ABC-A437-9774AA214401}"/>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3C450D50-7DDD-4D56-B214-5813D22C82E0}"/>
    <cellStyle name="Currency 5 2 4 2 3 2 3" xfId="11843" xr:uid="{E50FCEF8-D2A4-4133-A95A-1FDF0B49383E}"/>
    <cellStyle name="Currency 5 2 4 2 3 3" xfId="5477" xr:uid="{00000000-0005-0000-0000-00002D0C0000}"/>
    <cellStyle name="Currency 5 2 4 2 3 3 2" xfId="13916" xr:uid="{FFCAF1E6-4E06-48FC-B2BF-09A075BADB87}"/>
    <cellStyle name="Currency 5 2 4 2 3 4" xfId="9698" xr:uid="{EBFDD274-D775-4586-A9D8-6B2E3E5D2DF8}"/>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4398A172-655D-4F5A-91D1-8E4226CE5482}"/>
    <cellStyle name="Currency 5 2 4 2 4 2 3" xfId="12256" xr:uid="{B63EB5C6-3CCA-4DCE-8B93-403736D6178E}"/>
    <cellStyle name="Currency 5 2 4 2 4 3" xfId="5890" xr:uid="{00000000-0005-0000-0000-0000310C0000}"/>
    <cellStyle name="Currency 5 2 4 2 4 3 2" xfId="14329" xr:uid="{488A3219-C1CE-4A7D-B1CB-10B4C542235C}"/>
    <cellStyle name="Currency 5 2 4 2 4 4" xfId="10111" xr:uid="{0122341C-A72E-4FD8-A491-577724D989B6}"/>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118A36EE-4C70-4F73-9069-6F546352AFC1}"/>
    <cellStyle name="Currency 5 2 4 2 5 2 3" xfId="12669" xr:uid="{E513DEDF-E778-432B-932D-651076CF0460}"/>
    <cellStyle name="Currency 5 2 4 2 5 3" xfId="6303" xr:uid="{00000000-0005-0000-0000-0000350C0000}"/>
    <cellStyle name="Currency 5 2 4 2 5 3 2" xfId="14742" xr:uid="{6910DF6A-5F0B-4FA9-AD55-54137E76BDFA}"/>
    <cellStyle name="Currency 5 2 4 2 5 4" xfId="10524" xr:uid="{26F007CF-4280-4F43-95A6-BDF46DD777D2}"/>
    <cellStyle name="Currency 5 2 4 2 6" xfId="2431" xr:uid="{00000000-0005-0000-0000-0000360C0000}"/>
    <cellStyle name="Currency 5 2 4 2 6 2" xfId="6716" xr:uid="{00000000-0005-0000-0000-0000370C0000}"/>
    <cellStyle name="Currency 5 2 4 2 6 2 2" xfId="15155" xr:uid="{271B8C81-3DA5-4918-B7B3-B3C1443BC3B4}"/>
    <cellStyle name="Currency 5 2 4 2 6 3" xfId="10937" xr:uid="{6A96C924-3D15-41F4-A50D-56109F80BE44}"/>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D357263D-A66D-458B-ABAA-E73DC94A5E7E}"/>
    <cellStyle name="Currency 5 2 4 2 8 3" xfId="11254" xr:uid="{ABC2D1EF-0CAF-4B16-8402-E7B88C37B308}"/>
    <cellStyle name="Currency 5 2 4 2 9" xfId="4650" xr:uid="{00000000-0005-0000-0000-00003B0C0000}"/>
    <cellStyle name="Currency 5 2 4 2 9 2" xfId="13089" xr:uid="{B72FEB9B-EEBA-4467-8F52-11A1C077040A}"/>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603A9E00-5D0B-469A-B50C-9BB0D5A1E18F}"/>
    <cellStyle name="Currency 5 2 4 3 2 3" xfId="11429" xr:uid="{2DFB1825-B723-4B38-8838-977F042292B3}"/>
    <cellStyle name="Currency 5 2 4 3 3" xfId="5063" xr:uid="{00000000-0005-0000-0000-00003F0C0000}"/>
    <cellStyle name="Currency 5 2 4 3 3 2" xfId="13502" xr:uid="{018847E7-4B22-4816-A377-A8A48F8C89AE}"/>
    <cellStyle name="Currency 5 2 4 3 4" xfId="9284" xr:uid="{7FBA851B-008B-43A7-9EE8-70D39E30E734}"/>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A0BC5D49-22EC-4284-929E-6C8B4023225A}"/>
    <cellStyle name="Currency 5 2 4 4 2 3" xfId="11842" xr:uid="{9A93CD74-EB86-40DB-9316-C5ADD476DE79}"/>
    <cellStyle name="Currency 5 2 4 4 3" xfId="5476" xr:uid="{00000000-0005-0000-0000-0000430C0000}"/>
    <cellStyle name="Currency 5 2 4 4 3 2" xfId="13915" xr:uid="{80E43E77-0471-4178-BF46-A0ACA23C57C0}"/>
    <cellStyle name="Currency 5 2 4 4 4" xfId="9697" xr:uid="{D3F3F1BC-B602-455C-8CD1-E7220B4A5CDD}"/>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53B249FB-F775-4B82-8D85-2762AB1EB29B}"/>
    <cellStyle name="Currency 5 2 4 5 2 3" xfId="12255" xr:uid="{758F1EE3-83E5-414A-8B08-058C687BCCBF}"/>
    <cellStyle name="Currency 5 2 4 5 3" xfId="5889" xr:uid="{00000000-0005-0000-0000-0000470C0000}"/>
    <cellStyle name="Currency 5 2 4 5 3 2" xfId="14328" xr:uid="{B5BE93C0-BCA0-491A-BF5C-EF60A5A1611A}"/>
    <cellStyle name="Currency 5 2 4 5 4" xfId="10110" xr:uid="{9D5CFECE-CB0E-408F-AFEB-95E461D7B258}"/>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E7097D9A-4FEC-42AB-B066-9937073F4BE8}"/>
    <cellStyle name="Currency 5 2 4 6 2 3" xfId="12668" xr:uid="{FB873F61-8C8A-4710-B326-D50FA56F89B5}"/>
    <cellStyle name="Currency 5 2 4 6 3" xfId="6302" xr:uid="{00000000-0005-0000-0000-00004B0C0000}"/>
    <cellStyle name="Currency 5 2 4 6 3 2" xfId="14741" xr:uid="{C1D75BC4-5AF8-42E7-8D5F-C5E266239BE1}"/>
    <cellStyle name="Currency 5 2 4 6 4" xfId="10523" xr:uid="{4A18A416-12EA-46D9-A83A-B948BC9D81C8}"/>
    <cellStyle name="Currency 5 2 4 7" xfId="2430" xr:uid="{00000000-0005-0000-0000-00004C0C0000}"/>
    <cellStyle name="Currency 5 2 4 7 2" xfId="6715" xr:uid="{00000000-0005-0000-0000-00004D0C0000}"/>
    <cellStyle name="Currency 5 2 4 7 2 2" xfId="15154" xr:uid="{F5BB5420-9F19-4756-A882-BC97CFADD51A}"/>
    <cellStyle name="Currency 5 2 4 7 3" xfId="10936" xr:uid="{ECBCDA70-1E62-4FCC-AE2A-6F1BA33E8A1B}"/>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685EA3FA-0B49-4BFC-9E68-D62507B05617}"/>
    <cellStyle name="Currency 5 2 4 9 3" xfId="11253" xr:uid="{B49E4BCD-3F26-4A43-9C1E-8827197CAE09}"/>
    <cellStyle name="Currency 5 2 5" xfId="207" xr:uid="{00000000-0005-0000-0000-0000510C0000}"/>
    <cellStyle name="Currency 5 2 5 10" xfId="8872" xr:uid="{108C9BC5-1463-45E0-A233-B1FCD5743EEA}"/>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345B9EC5-D2B5-4382-9DE8-1738CEB0C2F5}"/>
    <cellStyle name="Currency 5 2 5 2 2 3" xfId="11431" xr:uid="{0D55A840-3009-4F59-89B3-140E0F0230C2}"/>
    <cellStyle name="Currency 5 2 5 2 3" xfId="5065" xr:uid="{00000000-0005-0000-0000-0000550C0000}"/>
    <cellStyle name="Currency 5 2 5 2 3 2" xfId="13504" xr:uid="{7A3024B9-4F55-4D0D-9B80-C0BD5DE82474}"/>
    <cellStyle name="Currency 5 2 5 2 4" xfId="9286" xr:uid="{2AF1A003-B663-4FBD-8FC5-8A5858B78486}"/>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6AA4E5FA-8681-491B-A637-4E4C999315B5}"/>
    <cellStyle name="Currency 5 2 5 3 2 3" xfId="11844" xr:uid="{ED679A9E-79D9-4003-A51B-7593742A58F7}"/>
    <cellStyle name="Currency 5 2 5 3 3" xfId="5478" xr:uid="{00000000-0005-0000-0000-0000590C0000}"/>
    <cellStyle name="Currency 5 2 5 3 3 2" xfId="13917" xr:uid="{D8881489-772F-46BD-8B07-8A3E97762C13}"/>
    <cellStyle name="Currency 5 2 5 3 4" xfId="9699" xr:uid="{683F61F1-0220-4DCE-A3EE-60C0B1D15A10}"/>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C307CB80-2A1E-4B80-955F-240E0D275B51}"/>
    <cellStyle name="Currency 5 2 5 4 2 3" xfId="12257" xr:uid="{EC552448-C70A-4936-AFFF-5CCAF4D9E978}"/>
    <cellStyle name="Currency 5 2 5 4 3" xfId="5891" xr:uid="{00000000-0005-0000-0000-00005D0C0000}"/>
    <cellStyle name="Currency 5 2 5 4 3 2" xfId="14330" xr:uid="{BDF1958E-1095-4EBE-8D70-2D26F1D6DBDF}"/>
    <cellStyle name="Currency 5 2 5 4 4" xfId="10112" xr:uid="{6E037375-EDB8-4587-A11D-F982A230CBD4}"/>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A9F96463-FDCF-4EE5-A96A-5FD3192BAEEB}"/>
    <cellStyle name="Currency 5 2 5 5 2 3" xfId="12670" xr:uid="{34C80C8A-6432-4366-84AA-FF0DD3A5BD0A}"/>
    <cellStyle name="Currency 5 2 5 5 3" xfId="6304" xr:uid="{00000000-0005-0000-0000-0000610C0000}"/>
    <cellStyle name="Currency 5 2 5 5 3 2" xfId="14743" xr:uid="{2503D4D5-329C-4FCF-8A9C-2637B569576F}"/>
    <cellStyle name="Currency 5 2 5 5 4" xfId="10525" xr:uid="{658A1528-92E3-412A-8534-33E5BC25A2B6}"/>
    <cellStyle name="Currency 5 2 5 6" xfId="2432" xr:uid="{00000000-0005-0000-0000-0000620C0000}"/>
    <cellStyle name="Currency 5 2 5 6 2" xfId="6717" xr:uid="{00000000-0005-0000-0000-0000630C0000}"/>
    <cellStyle name="Currency 5 2 5 6 2 2" xfId="15156" xr:uid="{660682F1-387A-4578-AA72-13237A9EBE5E}"/>
    <cellStyle name="Currency 5 2 5 6 3" xfId="10938" xr:uid="{D3A99BF1-A84B-49A5-8FF7-5A656D429A33}"/>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8D878519-314E-4832-A9F0-0E15CB343F40}"/>
    <cellStyle name="Currency 5 2 5 8 3" xfId="11255" xr:uid="{08286AE4-36C3-496C-99CA-A96C2CFD5B9D}"/>
    <cellStyle name="Currency 5 2 5 9" xfId="4651" xr:uid="{00000000-0005-0000-0000-0000670C0000}"/>
    <cellStyle name="Currency 5 2 5 9 2" xfId="13090" xr:uid="{23F4689C-3260-4781-A0EA-C2C8358767FC}"/>
    <cellStyle name="Currency 5 2 6" xfId="208" xr:uid="{00000000-0005-0000-0000-0000680C0000}"/>
    <cellStyle name="Currency 5 2 6 10" xfId="8873" xr:uid="{8340D7AA-D0E3-41A2-8DAB-42C18759D51C}"/>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1A8D860C-8291-4318-A33A-FBD23B67FE6A}"/>
    <cellStyle name="Currency 5 2 6 2 2 3" xfId="11432" xr:uid="{110E32E2-2B71-40E6-9A93-8A40372D1C53}"/>
    <cellStyle name="Currency 5 2 6 2 3" xfId="5066" xr:uid="{00000000-0005-0000-0000-00006C0C0000}"/>
    <cellStyle name="Currency 5 2 6 2 3 2" xfId="13505" xr:uid="{E0838EE2-D887-47EA-A221-C45508883095}"/>
    <cellStyle name="Currency 5 2 6 2 4" xfId="9287" xr:uid="{B67FE8BE-7A57-4B56-89B4-FE84D2B00E8B}"/>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C97029E9-61F0-4104-9CEA-F7FB81CA4EF9}"/>
    <cellStyle name="Currency 5 2 6 3 2 3" xfId="11845" xr:uid="{CDFD832B-A180-4E13-8F3D-AEE27580D370}"/>
    <cellStyle name="Currency 5 2 6 3 3" xfId="5479" xr:uid="{00000000-0005-0000-0000-0000700C0000}"/>
    <cellStyle name="Currency 5 2 6 3 3 2" xfId="13918" xr:uid="{1DF226EC-572A-4534-950F-6F775FDA942D}"/>
    <cellStyle name="Currency 5 2 6 3 4" xfId="9700" xr:uid="{B968AF4B-3F80-47B4-8B22-4CFBECCA5B01}"/>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91198111-DC30-4E0C-BC27-F2EB5C6EA0BC}"/>
    <cellStyle name="Currency 5 2 6 4 2 3" xfId="12258" xr:uid="{29EE92E4-FC80-4CE3-841F-0D0FC686083A}"/>
    <cellStyle name="Currency 5 2 6 4 3" xfId="5892" xr:uid="{00000000-0005-0000-0000-0000740C0000}"/>
    <cellStyle name="Currency 5 2 6 4 3 2" xfId="14331" xr:uid="{82A3F066-5FF6-4CFC-B321-630E735B48F2}"/>
    <cellStyle name="Currency 5 2 6 4 4" xfId="10113" xr:uid="{326A424F-9622-42F4-8B28-1EDC090A97EE}"/>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E8C81B68-B7E3-473A-A95C-C275F8A56B05}"/>
    <cellStyle name="Currency 5 2 6 5 2 3" xfId="12671" xr:uid="{E0429725-5D65-46F5-800C-FF7ECEE9618D}"/>
    <cellStyle name="Currency 5 2 6 5 3" xfId="6305" xr:uid="{00000000-0005-0000-0000-0000780C0000}"/>
    <cellStyle name="Currency 5 2 6 5 3 2" xfId="14744" xr:uid="{BE306040-12AB-420E-86DE-3A1BE9E25162}"/>
    <cellStyle name="Currency 5 2 6 5 4" xfId="10526" xr:uid="{525EFB77-A241-456A-88C8-D0DE68EBB387}"/>
    <cellStyle name="Currency 5 2 6 6" xfId="2433" xr:uid="{00000000-0005-0000-0000-0000790C0000}"/>
    <cellStyle name="Currency 5 2 6 6 2" xfId="6718" xr:uid="{00000000-0005-0000-0000-00007A0C0000}"/>
    <cellStyle name="Currency 5 2 6 6 2 2" xfId="15157" xr:uid="{0721E6A5-B5A1-4197-9E5E-8AB28430C6FA}"/>
    <cellStyle name="Currency 5 2 6 6 3" xfId="10939" xr:uid="{32C3E38D-8D72-4140-8872-0FFB9B3E7F6E}"/>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E5C42F35-9371-4887-8D86-A803DDE5CAF7}"/>
    <cellStyle name="Currency 5 2 6 8 3" xfId="11256" xr:uid="{EDEE3382-D7A9-4066-AFCE-E62A17C7941A}"/>
    <cellStyle name="Currency 5 2 6 9" xfId="4652" xr:uid="{00000000-0005-0000-0000-00007E0C0000}"/>
    <cellStyle name="Currency 5 2 6 9 2" xfId="13091" xr:uid="{88730A42-00A7-4482-9875-6F13F2F73126}"/>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A6824DD7-1DAE-4364-B5FE-24B05E509488}"/>
    <cellStyle name="Currency 5 3 2 10 3" xfId="11257" xr:uid="{43E8EE38-9A18-4D6D-A8A7-34D61ED84018}"/>
    <cellStyle name="Currency 5 3 2 11" xfId="4653" xr:uid="{00000000-0005-0000-0000-0000840C0000}"/>
    <cellStyle name="Currency 5 3 2 11 2" xfId="13092" xr:uid="{413640E3-D139-43EF-B228-40DEC82A753D}"/>
    <cellStyle name="Currency 5 3 2 12" xfId="8874" xr:uid="{538EBFD1-2270-4849-B6B3-AB48EB4EC6E7}"/>
    <cellStyle name="Currency 5 3 2 2" xfId="211" xr:uid="{00000000-0005-0000-0000-0000850C0000}"/>
    <cellStyle name="Currency 5 3 2 2 10" xfId="4654" xr:uid="{00000000-0005-0000-0000-0000860C0000}"/>
    <cellStyle name="Currency 5 3 2 2 10 2" xfId="13093" xr:uid="{9ABC98B8-44D4-4095-AFEE-69FB0E78A648}"/>
    <cellStyle name="Currency 5 3 2 2 11" xfId="8875" xr:uid="{86F52600-4D90-4166-8B6C-5A5D765198A6}"/>
    <cellStyle name="Currency 5 3 2 2 2" xfId="212" xr:uid="{00000000-0005-0000-0000-0000870C0000}"/>
    <cellStyle name="Currency 5 3 2 2 2 10" xfId="8876" xr:uid="{D2C676D8-21C9-4B25-849D-2CBDB06FFFE1}"/>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5CA52EE7-F150-44FE-B9AB-94D3657AD2DE}"/>
    <cellStyle name="Currency 5 3 2 2 2 2 2 3" xfId="11435" xr:uid="{ACAE1DDA-9E9D-40EB-BD3A-D1CDDCF8489F}"/>
    <cellStyle name="Currency 5 3 2 2 2 2 3" xfId="5069" xr:uid="{00000000-0005-0000-0000-00008B0C0000}"/>
    <cellStyle name="Currency 5 3 2 2 2 2 3 2" xfId="13508" xr:uid="{2C1298C7-7880-47FA-8B3A-FA7BCC148A92}"/>
    <cellStyle name="Currency 5 3 2 2 2 2 4" xfId="9290" xr:uid="{466A388B-3BDC-412A-A39F-80A7F6E20114}"/>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3A570D61-752B-4CBF-89E3-CF5EE0D7AF3D}"/>
    <cellStyle name="Currency 5 3 2 2 2 3 2 3" xfId="11848" xr:uid="{489A0B6C-3284-4FFA-B9E9-B1F7CB92243D}"/>
    <cellStyle name="Currency 5 3 2 2 2 3 3" xfId="5482" xr:uid="{00000000-0005-0000-0000-00008F0C0000}"/>
    <cellStyle name="Currency 5 3 2 2 2 3 3 2" xfId="13921" xr:uid="{67486E77-8A81-46E3-BECC-2DA2E902F0B1}"/>
    <cellStyle name="Currency 5 3 2 2 2 3 4" xfId="9703" xr:uid="{4BB65E90-B50C-4E1A-B406-3D58AA1033CC}"/>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669A33B6-F144-4A7B-8F2F-3C64357F767D}"/>
    <cellStyle name="Currency 5 3 2 2 2 4 2 3" xfId="12261" xr:uid="{8BF9F53F-8EBE-4C1C-9E08-BBE17AA0A90E}"/>
    <cellStyle name="Currency 5 3 2 2 2 4 3" xfId="5895" xr:uid="{00000000-0005-0000-0000-0000930C0000}"/>
    <cellStyle name="Currency 5 3 2 2 2 4 3 2" xfId="14334" xr:uid="{9FDE5DBC-25D5-4662-8E23-2EAF02C81663}"/>
    <cellStyle name="Currency 5 3 2 2 2 4 4" xfId="10116" xr:uid="{5DC61BAF-AF9E-47F3-9640-A6223449F721}"/>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CB2A1A7E-7DC4-449A-BBDE-C0BF68FE7239}"/>
    <cellStyle name="Currency 5 3 2 2 2 5 2 3" xfId="12674" xr:uid="{8A5B22DB-C76C-4BF7-BECA-7CB8EE719057}"/>
    <cellStyle name="Currency 5 3 2 2 2 5 3" xfId="6308" xr:uid="{00000000-0005-0000-0000-0000970C0000}"/>
    <cellStyle name="Currency 5 3 2 2 2 5 3 2" xfId="14747" xr:uid="{894AC1F6-A196-441E-A324-F056D034B943}"/>
    <cellStyle name="Currency 5 3 2 2 2 5 4" xfId="10529" xr:uid="{CE17C694-F687-48CB-AEB9-44A485A2C19D}"/>
    <cellStyle name="Currency 5 3 2 2 2 6" xfId="2436" xr:uid="{00000000-0005-0000-0000-0000980C0000}"/>
    <cellStyle name="Currency 5 3 2 2 2 6 2" xfId="6721" xr:uid="{00000000-0005-0000-0000-0000990C0000}"/>
    <cellStyle name="Currency 5 3 2 2 2 6 2 2" xfId="15160" xr:uid="{F0005A9B-39D3-4AFC-A168-430F2BA6D084}"/>
    <cellStyle name="Currency 5 3 2 2 2 6 3" xfId="10942" xr:uid="{4788248C-2318-4BB1-BF79-9D2561220C48}"/>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BEC61B17-D5AB-4646-8C24-D7D78C59C305}"/>
    <cellStyle name="Currency 5 3 2 2 2 8 3" xfId="11259" xr:uid="{FA6BDEDD-62C9-4CAE-AEE8-2547E6D7CAA6}"/>
    <cellStyle name="Currency 5 3 2 2 2 9" xfId="4655" xr:uid="{00000000-0005-0000-0000-00009D0C0000}"/>
    <cellStyle name="Currency 5 3 2 2 2 9 2" xfId="13094" xr:uid="{EB104A81-7270-420D-B385-6F11E61149DB}"/>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84FD4803-76CC-4A45-844A-06779B331000}"/>
    <cellStyle name="Currency 5 3 2 2 3 2 3" xfId="11434" xr:uid="{13026B9D-4914-4623-BAC8-2E53DCA40040}"/>
    <cellStyle name="Currency 5 3 2 2 3 3" xfId="5068" xr:uid="{00000000-0005-0000-0000-0000A10C0000}"/>
    <cellStyle name="Currency 5 3 2 2 3 3 2" xfId="13507" xr:uid="{787C360E-D67E-48C1-B869-E00EC7434CF6}"/>
    <cellStyle name="Currency 5 3 2 2 3 4" xfId="9289" xr:uid="{A3393BB9-BA68-4F5C-B583-E9800EA9F0BF}"/>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6F59A53E-E2F8-422F-B08C-F37C574CA9BD}"/>
    <cellStyle name="Currency 5 3 2 2 4 2 3" xfId="11847" xr:uid="{B9E44123-EDFB-4A14-AC5F-3D56E0E4DBA4}"/>
    <cellStyle name="Currency 5 3 2 2 4 3" xfId="5481" xr:uid="{00000000-0005-0000-0000-0000A50C0000}"/>
    <cellStyle name="Currency 5 3 2 2 4 3 2" xfId="13920" xr:uid="{D64FFA5C-4E48-42CA-83FD-99A8261465CB}"/>
    <cellStyle name="Currency 5 3 2 2 4 4" xfId="9702" xr:uid="{DC6872DD-4633-4BF1-AFBF-F321CCCDD1A4}"/>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2F39FB9F-5D58-44B3-B161-A8F2B89211B0}"/>
    <cellStyle name="Currency 5 3 2 2 5 2 3" xfId="12260" xr:uid="{F57AEE1B-8AF3-4D49-83A9-F426B24B1E6A}"/>
    <cellStyle name="Currency 5 3 2 2 5 3" xfId="5894" xr:uid="{00000000-0005-0000-0000-0000A90C0000}"/>
    <cellStyle name="Currency 5 3 2 2 5 3 2" xfId="14333" xr:uid="{2E06723E-9830-4790-A5E8-9A76A6605B2B}"/>
    <cellStyle name="Currency 5 3 2 2 5 4" xfId="10115" xr:uid="{913971A9-F988-4B50-BA14-45E15F2C9342}"/>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D78A92A1-433A-4435-B09B-E94F8BF1AC7D}"/>
    <cellStyle name="Currency 5 3 2 2 6 2 3" xfId="12673" xr:uid="{35397D71-6689-434E-9B8E-82DE4B97F695}"/>
    <cellStyle name="Currency 5 3 2 2 6 3" xfId="6307" xr:uid="{00000000-0005-0000-0000-0000AD0C0000}"/>
    <cellStyle name="Currency 5 3 2 2 6 3 2" xfId="14746" xr:uid="{303486D3-DF94-41B2-B0B8-2B7372659899}"/>
    <cellStyle name="Currency 5 3 2 2 6 4" xfId="10528" xr:uid="{F146BEB3-2290-461F-881D-7390DD04C375}"/>
    <cellStyle name="Currency 5 3 2 2 7" xfId="2435" xr:uid="{00000000-0005-0000-0000-0000AE0C0000}"/>
    <cellStyle name="Currency 5 3 2 2 7 2" xfId="6720" xr:uid="{00000000-0005-0000-0000-0000AF0C0000}"/>
    <cellStyle name="Currency 5 3 2 2 7 2 2" xfId="15159" xr:uid="{57D119FA-5E41-4F4E-9E4A-421777421A44}"/>
    <cellStyle name="Currency 5 3 2 2 7 3" xfId="10941" xr:uid="{A246AA25-FBC9-4109-A00D-7B2F33F177E7}"/>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B3CFD365-6BCC-4579-A5D2-C36021FDFECE}"/>
    <cellStyle name="Currency 5 3 2 2 9 3" xfId="11258" xr:uid="{F53E7956-E531-4CDA-AEB5-B06741AEF025}"/>
    <cellStyle name="Currency 5 3 2 3" xfId="213" xr:uid="{00000000-0005-0000-0000-0000B30C0000}"/>
    <cellStyle name="Currency 5 3 2 3 10" xfId="8877" xr:uid="{1BD54EEA-B243-4CF2-B057-840EEBEF3C0B}"/>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6B66AC01-B2F4-4661-920C-2338230A1F0F}"/>
    <cellStyle name="Currency 5 3 2 3 2 2 3" xfId="11436" xr:uid="{0A791765-A94E-4238-890E-61227B97761E}"/>
    <cellStyle name="Currency 5 3 2 3 2 3" xfId="5070" xr:uid="{00000000-0005-0000-0000-0000B70C0000}"/>
    <cellStyle name="Currency 5 3 2 3 2 3 2" xfId="13509" xr:uid="{E9029DD4-89F1-4811-A19E-63E3C58A47C0}"/>
    <cellStyle name="Currency 5 3 2 3 2 4" xfId="9291" xr:uid="{25113DBE-531D-4375-A75A-A06500371A64}"/>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A52B2201-DFD9-4F8F-8607-BBE56A0B7AE9}"/>
    <cellStyle name="Currency 5 3 2 3 3 2 3" xfId="11849" xr:uid="{74A7E5DB-E961-4243-AEE6-2E38B7006F6B}"/>
    <cellStyle name="Currency 5 3 2 3 3 3" xfId="5483" xr:uid="{00000000-0005-0000-0000-0000BB0C0000}"/>
    <cellStyle name="Currency 5 3 2 3 3 3 2" xfId="13922" xr:uid="{19B2CE4F-09AE-42F2-9FC7-86E1BD253A07}"/>
    <cellStyle name="Currency 5 3 2 3 3 4" xfId="9704" xr:uid="{EAC2ACAC-0726-4843-88F2-0CE1FD138637}"/>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ABB3C183-945E-4A31-AE97-30A50EA53BD7}"/>
    <cellStyle name="Currency 5 3 2 3 4 2 3" xfId="12262" xr:uid="{F477E14F-A7E2-499A-8A6E-AFC486844CC4}"/>
    <cellStyle name="Currency 5 3 2 3 4 3" xfId="5896" xr:uid="{00000000-0005-0000-0000-0000BF0C0000}"/>
    <cellStyle name="Currency 5 3 2 3 4 3 2" xfId="14335" xr:uid="{5DB026D1-89F7-4231-B801-6C2EFBCB5430}"/>
    <cellStyle name="Currency 5 3 2 3 4 4" xfId="10117" xr:uid="{CC244F32-AB99-4A47-B246-DF82889D4DAC}"/>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772AB2EF-6987-479A-86AE-DD1315501171}"/>
    <cellStyle name="Currency 5 3 2 3 5 2 3" xfId="12675" xr:uid="{79DAE0E7-8CFD-4C7A-8B31-2FA833064AD4}"/>
    <cellStyle name="Currency 5 3 2 3 5 3" xfId="6309" xr:uid="{00000000-0005-0000-0000-0000C30C0000}"/>
    <cellStyle name="Currency 5 3 2 3 5 3 2" xfId="14748" xr:uid="{1B296EFD-DE6D-4CC1-9966-EA4D4C116111}"/>
    <cellStyle name="Currency 5 3 2 3 5 4" xfId="10530" xr:uid="{AA030149-9CC6-4565-BB3D-1842052B1037}"/>
    <cellStyle name="Currency 5 3 2 3 6" xfId="2437" xr:uid="{00000000-0005-0000-0000-0000C40C0000}"/>
    <cellStyle name="Currency 5 3 2 3 6 2" xfId="6722" xr:uid="{00000000-0005-0000-0000-0000C50C0000}"/>
    <cellStyle name="Currency 5 3 2 3 6 2 2" xfId="15161" xr:uid="{02B3BA5D-33BC-4BF9-A457-F2DC8339CB12}"/>
    <cellStyle name="Currency 5 3 2 3 6 3" xfId="10943" xr:uid="{415CE68F-C11E-4C0C-9DF7-332BB479D33C}"/>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2760469E-C943-418D-A3C9-E642D37D447D}"/>
    <cellStyle name="Currency 5 3 2 3 8 3" xfId="11260" xr:uid="{36448D40-731C-49E9-B03B-E7C85230CD15}"/>
    <cellStyle name="Currency 5 3 2 3 9" xfId="4656" xr:uid="{00000000-0005-0000-0000-0000C90C0000}"/>
    <cellStyle name="Currency 5 3 2 3 9 2" xfId="13095" xr:uid="{749EB0B5-A47C-41E1-9483-148FFA0CD8E9}"/>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5EEC6E54-8C33-490A-A773-8890426AAE43}"/>
    <cellStyle name="Currency 5 3 2 4 2 3" xfId="11433" xr:uid="{16DD397F-FA56-4D7A-87D8-C287F202467D}"/>
    <cellStyle name="Currency 5 3 2 4 3" xfId="5067" xr:uid="{00000000-0005-0000-0000-0000CD0C0000}"/>
    <cellStyle name="Currency 5 3 2 4 3 2" xfId="13506" xr:uid="{D1136948-DA91-4470-A9C3-9CCF353BEB75}"/>
    <cellStyle name="Currency 5 3 2 4 4" xfId="9288" xr:uid="{B3374E4C-812A-47F9-9272-26590DA17835}"/>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564BFC79-0885-4A4C-9FE3-6BFF9C136015}"/>
    <cellStyle name="Currency 5 3 2 5 2 3" xfId="11846" xr:uid="{CF04968C-FBA8-4F9D-87B7-3644554450F1}"/>
    <cellStyle name="Currency 5 3 2 5 3" xfId="5480" xr:uid="{00000000-0005-0000-0000-0000D10C0000}"/>
    <cellStyle name="Currency 5 3 2 5 3 2" xfId="13919" xr:uid="{599E4272-54F6-438A-9794-5231EDB8E647}"/>
    <cellStyle name="Currency 5 3 2 5 4" xfId="9701" xr:uid="{1747D18F-7AB3-4B98-88AB-3BC4045D53A8}"/>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9932BCA4-9367-4D37-97FC-0CD1828DFBE6}"/>
    <cellStyle name="Currency 5 3 2 6 2 3" xfId="12259" xr:uid="{2C27842C-7782-4754-B65B-EE4E33D06068}"/>
    <cellStyle name="Currency 5 3 2 6 3" xfId="5893" xr:uid="{00000000-0005-0000-0000-0000D50C0000}"/>
    <cellStyle name="Currency 5 3 2 6 3 2" xfId="14332" xr:uid="{2FDBF8F9-F0F8-46E2-A437-2CE33B2A4B18}"/>
    <cellStyle name="Currency 5 3 2 6 4" xfId="10114" xr:uid="{BAACF67E-51EE-42DF-940E-76F34DEF53C9}"/>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8B9D25E3-F662-400A-974B-4C3D4646DDE2}"/>
    <cellStyle name="Currency 5 3 2 7 2 3" xfId="12672" xr:uid="{B981548A-5831-4C06-864F-D87DB94A7098}"/>
    <cellStyle name="Currency 5 3 2 7 3" xfId="6306" xr:uid="{00000000-0005-0000-0000-0000D90C0000}"/>
    <cellStyle name="Currency 5 3 2 7 3 2" xfId="14745" xr:uid="{046F0124-9200-4FC0-93D1-FD43D6524ECD}"/>
    <cellStyle name="Currency 5 3 2 7 4" xfId="10527" xr:uid="{01CCA0FB-F97C-43F9-98F0-104EED11C21D}"/>
    <cellStyle name="Currency 5 3 2 8" xfId="2434" xr:uid="{00000000-0005-0000-0000-0000DA0C0000}"/>
    <cellStyle name="Currency 5 3 2 8 2" xfId="6719" xr:uid="{00000000-0005-0000-0000-0000DB0C0000}"/>
    <cellStyle name="Currency 5 3 2 8 2 2" xfId="15158" xr:uid="{606BC039-22C6-45D5-8003-71AAD17B6A69}"/>
    <cellStyle name="Currency 5 3 2 8 3" xfId="10940" xr:uid="{8D835D17-51D9-4CC2-80F4-D81971A0AAE6}"/>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EF48BF8E-4CA5-4589-841C-795E5242C09A}"/>
    <cellStyle name="Currency 5 3 3 11" xfId="8878" xr:uid="{1A14C4CC-C213-4D70-8464-CA9EAD83BBC7}"/>
    <cellStyle name="Currency 5 3 3 2" xfId="215" xr:uid="{00000000-0005-0000-0000-0000DF0C0000}"/>
    <cellStyle name="Currency 5 3 3 2 10" xfId="8879" xr:uid="{6CCAF647-3BD6-4F5C-A7D7-132C78AD54C1}"/>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A1B918D8-E28F-47D3-89FB-47A0EB735636}"/>
    <cellStyle name="Currency 5 3 3 2 2 2 3" xfId="11438" xr:uid="{8C6EE487-3139-4D87-A6DB-CF6472EEB43D}"/>
    <cellStyle name="Currency 5 3 3 2 2 3" xfId="5072" xr:uid="{00000000-0005-0000-0000-0000E30C0000}"/>
    <cellStyle name="Currency 5 3 3 2 2 3 2" xfId="13511" xr:uid="{678D59B8-71F0-48D9-AE2B-371DB964BA0A}"/>
    <cellStyle name="Currency 5 3 3 2 2 4" xfId="9293" xr:uid="{4F235B57-1475-4F14-A24C-A5DD420955C5}"/>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B4EFE4E8-9C15-4325-AED6-06C6CBA1A8F1}"/>
    <cellStyle name="Currency 5 3 3 2 3 2 3" xfId="11851" xr:uid="{D93A74D7-03EA-45A5-8C59-71623FBF90F9}"/>
    <cellStyle name="Currency 5 3 3 2 3 3" xfId="5485" xr:uid="{00000000-0005-0000-0000-0000E70C0000}"/>
    <cellStyle name="Currency 5 3 3 2 3 3 2" xfId="13924" xr:uid="{54B3261C-BC65-4546-AA0E-780F54B4F5C4}"/>
    <cellStyle name="Currency 5 3 3 2 3 4" xfId="9706" xr:uid="{ED8D004F-FEB3-43AA-A1AD-255793A1BAE8}"/>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1C573C3B-5721-4429-8DA0-AA41698AFE72}"/>
    <cellStyle name="Currency 5 3 3 2 4 2 3" xfId="12264" xr:uid="{4DD5E880-22CC-4714-BE98-BF1B9BCEAB47}"/>
    <cellStyle name="Currency 5 3 3 2 4 3" xfId="5898" xr:uid="{00000000-0005-0000-0000-0000EB0C0000}"/>
    <cellStyle name="Currency 5 3 3 2 4 3 2" xfId="14337" xr:uid="{17484B68-F5BE-48A8-BAC6-774E23D152CD}"/>
    <cellStyle name="Currency 5 3 3 2 4 4" xfId="10119" xr:uid="{94AD30DF-2FB0-4CDC-9051-494BED49D14B}"/>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6318AA0A-216F-4405-B284-F0BE50BDA412}"/>
    <cellStyle name="Currency 5 3 3 2 5 2 3" xfId="12677" xr:uid="{BAD979DD-DE50-4AC0-83D0-8AF5ED7AE3C1}"/>
    <cellStyle name="Currency 5 3 3 2 5 3" xfId="6311" xr:uid="{00000000-0005-0000-0000-0000EF0C0000}"/>
    <cellStyle name="Currency 5 3 3 2 5 3 2" xfId="14750" xr:uid="{1A6B3C27-7280-4C9C-B36A-750DB28DA84E}"/>
    <cellStyle name="Currency 5 3 3 2 5 4" xfId="10532" xr:uid="{1329CA9F-7DAE-410E-A2E4-C26386602114}"/>
    <cellStyle name="Currency 5 3 3 2 6" xfId="2439" xr:uid="{00000000-0005-0000-0000-0000F00C0000}"/>
    <cellStyle name="Currency 5 3 3 2 6 2" xfId="6724" xr:uid="{00000000-0005-0000-0000-0000F10C0000}"/>
    <cellStyle name="Currency 5 3 3 2 6 2 2" xfId="15163" xr:uid="{C2CB8CBE-7FFC-4706-B739-3BDA9716E757}"/>
    <cellStyle name="Currency 5 3 3 2 6 3" xfId="10945" xr:uid="{4E18AFAC-8D1A-4F50-BAE1-B1DACAC12563}"/>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81206014-3C01-4D72-B140-1BB8D709B51B}"/>
    <cellStyle name="Currency 5 3 3 2 8 3" xfId="11262" xr:uid="{528BB391-2CA7-4F36-A316-E068BDBB8503}"/>
    <cellStyle name="Currency 5 3 3 2 9" xfId="4658" xr:uid="{00000000-0005-0000-0000-0000F50C0000}"/>
    <cellStyle name="Currency 5 3 3 2 9 2" xfId="13097" xr:uid="{5046BE25-96C8-4FC4-80BC-1FE754BED9D7}"/>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0EEABEB1-2636-4DCE-B32B-FFCF559A2810}"/>
    <cellStyle name="Currency 5 3 3 3 2 3" xfId="11437" xr:uid="{9DDD1A84-61F0-4788-BBA3-E741012CBA78}"/>
    <cellStyle name="Currency 5 3 3 3 3" xfId="5071" xr:uid="{00000000-0005-0000-0000-0000F90C0000}"/>
    <cellStyle name="Currency 5 3 3 3 3 2" xfId="13510" xr:uid="{F07170AA-5142-4FAF-BFEF-D9F74301D714}"/>
    <cellStyle name="Currency 5 3 3 3 4" xfId="9292" xr:uid="{30FC1C01-1AB7-4B2B-9964-E584550AF319}"/>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DAAA9CC4-A67B-4AF5-B3A4-D591082DEF92}"/>
    <cellStyle name="Currency 5 3 3 4 2 3" xfId="11850" xr:uid="{51A06AE3-D5F1-4A6E-872C-CCBC651B3697}"/>
    <cellStyle name="Currency 5 3 3 4 3" xfId="5484" xr:uid="{00000000-0005-0000-0000-0000FD0C0000}"/>
    <cellStyle name="Currency 5 3 3 4 3 2" xfId="13923" xr:uid="{3F9C5805-F3C0-4C92-9676-444636C96F1D}"/>
    <cellStyle name="Currency 5 3 3 4 4" xfId="9705" xr:uid="{9AF263B9-FDD8-43E5-B7F0-A0543BEA93C6}"/>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82A1E3FE-6B0F-4205-8FDF-5C50538144DE}"/>
    <cellStyle name="Currency 5 3 3 5 2 3" xfId="12263" xr:uid="{061B0A2D-98A6-4292-9AC8-229AC8307B13}"/>
    <cellStyle name="Currency 5 3 3 5 3" xfId="5897" xr:uid="{00000000-0005-0000-0000-0000010D0000}"/>
    <cellStyle name="Currency 5 3 3 5 3 2" xfId="14336" xr:uid="{11BD8F01-04A6-4BF1-BCC3-A6E746BA2B58}"/>
    <cellStyle name="Currency 5 3 3 5 4" xfId="10118" xr:uid="{6ABD4C13-5797-4A95-B5DF-F3959FF24543}"/>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5637F4C4-F924-4591-882E-D497EBF6DEF8}"/>
    <cellStyle name="Currency 5 3 3 6 2 3" xfId="12676" xr:uid="{28A1EC45-AA1A-40DD-8B24-B6A77F35C74D}"/>
    <cellStyle name="Currency 5 3 3 6 3" xfId="6310" xr:uid="{00000000-0005-0000-0000-0000050D0000}"/>
    <cellStyle name="Currency 5 3 3 6 3 2" xfId="14749" xr:uid="{F7D0E6A1-145B-4429-93DB-7F8417F0A419}"/>
    <cellStyle name="Currency 5 3 3 6 4" xfId="10531" xr:uid="{D4A87AC5-92DF-4FC1-8A37-934A48DA3DA6}"/>
    <cellStyle name="Currency 5 3 3 7" xfId="2438" xr:uid="{00000000-0005-0000-0000-0000060D0000}"/>
    <cellStyle name="Currency 5 3 3 7 2" xfId="6723" xr:uid="{00000000-0005-0000-0000-0000070D0000}"/>
    <cellStyle name="Currency 5 3 3 7 2 2" xfId="15162" xr:uid="{3D3C68A1-7D50-4035-A4A5-79F494A6E26C}"/>
    <cellStyle name="Currency 5 3 3 7 3" xfId="10944" xr:uid="{5C0F35BA-3931-40F6-82AD-AC7A7A7373EC}"/>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AE47B9DB-337B-4DCB-9124-AAF437FC00F6}"/>
    <cellStyle name="Currency 5 3 3 9 3" xfId="11261" xr:uid="{C058BF76-E33F-4084-A935-BDDD2CBAE0F2}"/>
    <cellStyle name="Currency 5 3 4" xfId="216" xr:uid="{00000000-0005-0000-0000-00000B0D0000}"/>
    <cellStyle name="Currency 5 3 4 10" xfId="8880" xr:uid="{F5DDE285-D244-43AE-9BDA-4FC647907C4E}"/>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E5D7D243-5CEA-454C-88C7-7F7FB8C6049D}"/>
    <cellStyle name="Currency 5 3 4 2 2 3" xfId="11439" xr:uid="{D46F97F9-5957-46F8-9CDA-2CDAEB81A79E}"/>
    <cellStyle name="Currency 5 3 4 2 3" xfId="5073" xr:uid="{00000000-0005-0000-0000-00000F0D0000}"/>
    <cellStyle name="Currency 5 3 4 2 3 2" xfId="13512" xr:uid="{C7870892-7F1E-4DEC-BA75-C4E3DD4D5874}"/>
    <cellStyle name="Currency 5 3 4 2 4" xfId="9294" xr:uid="{0C2F6917-EFC0-4FD3-8183-3CF7EF39F7E5}"/>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7C273988-B9BE-4E53-9159-F5A1071E03E2}"/>
    <cellStyle name="Currency 5 3 4 3 2 3" xfId="11852" xr:uid="{7DDB601C-5044-4D67-9FD5-D3A3978F5F00}"/>
    <cellStyle name="Currency 5 3 4 3 3" xfId="5486" xr:uid="{00000000-0005-0000-0000-0000130D0000}"/>
    <cellStyle name="Currency 5 3 4 3 3 2" xfId="13925" xr:uid="{C37789DD-7DF3-4E2C-831B-9E3CF3A17383}"/>
    <cellStyle name="Currency 5 3 4 3 4" xfId="9707" xr:uid="{4EBA9301-1D25-4923-A12A-325A3BD0D142}"/>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AABBFE88-0A89-4984-BE43-8065EFC30460}"/>
    <cellStyle name="Currency 5 3 4 4 2 3" xfId="12265" xr:uid="{A90B8029-2B46-407F-94B0-390A7CF9B05A}"/>
    <cellStyle name="Currency 5 3 4 4 3" xfId="5899" xr:uid="{00000000-0005-0000-0000-0000170D0000}"/>
    <cellStyle name="Currency 5 3 4 4 3 2" xfId="14338" xr:uid="{AC1EDA3B-81BD-45B4-A88F-802D8ACE9893}"/>
    <cellStyle name="Currency 5 3 4 4 4" xfId="10120" xr:uid="{764285BB-14DF-4FC9-BBF1-2252E22AC1A9}"/>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D7F47C69-7915-466D-860B-F984C2FFE0B2}"/>
    <cellStyle name="Currency 5 3 4 5 2 3" xfId="12678" xr:uid="{8D350573-BB23-44E1-B159-9729FCCF4156}"/>
    <cellStyle name="Currency 5 3 4 5 3" xfId="6312" xr:uid="{00000000-0005-0000-0000-00001B0D0000}"/>
    <cellStyle name="Currency 5 3 4 5 3 2" xfId="14751" xr:uid="{3F8FA111-85BA-4264-B7BB-4A3B9EE294AE}"/>
    <cellStyle name="Currency 5 3 4 5 4" xfId="10533" xr:uid="{F456BAC2-F97B-459D-BD26-933EE563E5F5}"/>
    <cellStyle name="Currency 5 3 4 6" xfId="2440" xr:uid="{00000000-0005-0000-0000-00001C0D0000}"/>
    <cellStyle name="Currency 5 3 4 6 2" xfId="6725" xr:uid="{00000000-0005-0000-0000-00001D0D0000}"/>
    <cellStyle name="Currency 5 3 4 6 2 2" xfId="15164" xr:uid="{EF6DBA89-C075-4223-A41D-73541618FD61}"/>
    <cellStyle name="Currency 5 3 4 6 3" xfId="10946" xr:uid="{75757D55-0FF4-4669-872A-8E8CD2712EFA}"/>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350723E1-7E48-4652-9D5F-882887CE296C}"/>
    <cellStyle name="Currency 5 3 4 8 3" xfId="11263" xr:uid="{A3764B8F-54C8-4192-95D1-A1222D82F4A2}"/>
    <cellStyle name="Currency 5 3 4 9" xfId="4659" xr:uid="{00000000-0005-0000-0000-0000210D0000}"/>
    <cellStyle name="Currency 5 3 4 9 2" xfId="13098" xr:uid="{38680456-A9D1-4275-BBD4-11CF5B328A76}"/>
    <cellStyle name="Currency 5 3 5" xfId="217" xr:uid="{00000000-0005-0000-0000-0000220D0000}"/>
    <cellStyle name="Currency 5 3 5 10" xfId="8881" xr:uid="{9B9CB492-F143-45E1-A46B-51C91C8CB896}"/>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7114B043-D583-4925-84F1-0AEA2FEC1954}"/>
    <cellStyle name="Currency 5 3 5 2 2 3" xfId="11440" xr:uid="{E3C8777B-0067-4B16-AF76-C936309347D2}"/>
    <cellStyle name="Currency 5 3 5 2 3" xfId="5074" xr:uid="{00000000-0005-0000-0000-0000260D0000}"/>
    <cellStyle name="Currency 5 3 5 2 3 2" xfId="13513" xr:uid="{56BC0224-7E78-4C91-88A2-40CD487663EC}"/>
    <cellStyle name="Currency 5 3 5 2 4" xfId="9295" xr:uid="{6763B51B-8215-4E2C-905F-890E4D145C0F}"/>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36B9E70C-AB32-4CE8-9197-22EFCD68A166}"/>
    <cellStyle name="Currency 5 3 5 3 2 3" xfId="11853" xr:uid="{746D1B58-39B3-40DF-8EA1-64ABBEFE0AF2}"/>
    <cellStyle name="Currency 5 3 5 3 3" xfId="5487" xr:uid="{00000000-0005-0000-0000-00002A0D0000}"/>
    <cellStyle name="Currency 5 3 5 3 3 2" xfId="13926" xr:uid="{D2FDB3CD-26F6-4FA9-A6D8-8AA8140BD106}"/>
    <cellStyle name="Currency 5 3 5 3 4" xfId="9708" xr:uid="{59297C9E-A76B-403A-9F39-D66E36BC614D}"/>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B2BB06A9-E0EA-40FC-BEB5-FB07C9B96E18}"/>
    <cellStyle name="Currency 5 3 5 4 2 3" xfId="12266" xr:uid="{BD4B1018-5BAA-4E53-8567-22C4DFFDFFB4}"/>
    <cellStyle name="Currency 5 3 5 4 3" xfId="5900" xr:uid="{00000000-0005-0000-0000-00002E0D0000}"/>
    <cellStyle name="Currency 5 3 5 4 3 2" xfId="14339" xr:uid="{F11C2FB6-3089-42CF-97EC-E16408388178}"/>
    <cellStyle name="Currency 5 3 5 4 4" xfId="10121" xr:uid="{79085F75-7F71-4989-921C-033C4BE62F22}"/>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AFC0510C-63B0-46B8-8E6F-42C44519ABDC}"/>
    <cellStyle name="Currency 5 3 5 5 2 3" xfId="12679" xr:uid="{8A34AA8D-AF2A-456A-904A-3254BC86418E}"/>
    <cellStyle name="Currency 5 3 5 5 3" xfId="6313" xr:uid="{00000000-0005-0000-0000-0000320D0000}"/>
    <cellStyle name="Currency 5 3 5 5 3 2" xfId="14752" xr:uid="{383CC0B3-70BD-432D-A81A-9257AAA8F582}"/>
    <cellStyle name="Currency 5 3 5 5 4" xfId="10534" xr:uid="{DAA190D3-D3FF-4550-AD1A-FAA5957D3A51}"/>
    <cellStyle name="Currency 5 3 5 6" xfId="2441" xr:uid="{00000000-0005-0000-0000-0000330D0000}"/>
    <cellStyle name="Currency 5 3 5 6 2" xfId="6726" xr:uid="{00000000-0005-0000-0000-0000340D0000}"/>
    <cellStyle name="Currency 5 3 5 6 2 2" xfId="15165" xr:uid="{9B774A5C-C489-41EA-9A0A-3F3F90650E97}"/>
    <cellStyle name="Currency 5 3 5 6 3" xfId="10947" xr:uid="{C44875F3-C4B9-4726-9FCF-A47AC6DB650C}"/>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DBDD77FA-1E2B-459F-964F-28CCF890B845}"/>
    <cellStyle name="Currency 5 3 5 8 3" xfId="11264" xr:uid="{EF39425C-1A17-4D1A-ABE9-4EDE6A967095}"/>
    <cellStyle name="Currency 5 3 5 9" xfId="4660" xr:uid="{00000000-0005-0000-0000-0000380D0000}"/>
    <cellStyle name="Currency 5 3 5 9 2" xfId="13099" xr:uid="{72709F66-8AA7-44D6-84CB-AB2A187DB7DB}"/>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093F8999-FBE6-4EAE-A61F-098A14DE528B}"/>
    <cellStyle name="Currency 5 5 11" xfId="8882" xr:uid="{B002A8E6-C497-4CA0-A93A-75041D168B6B}"/>
    <cellStyle name="Currency 5 5 2" xfId="220" xr:uid="{00000000-0005-0000-0000-00003D0D0000}"/>
    <cellStyle name="Currency 5 5 2 10" xfId="8883" xr:uid="{D8169447-844C-4D12-A1DE-E1C42902F7E3}"/>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354F3186-8DA4-4EC8-8A58-6C41B241FAB2}"/>
    <cellStyle name="Currency 5 5 2 2 2 3" xfId="11442" xr:uid="{DB33A35E-3B06-4138-967C-241EE123801C}"/>
    <cellStyle name="Currency 5 5 2 2 3" xfId="5076" xr:uid="{00000000-0005-0000-0000-0000410D0000}"/>
    <cellStyle name="Currency 5 5 2 2 3 2" xfId="13515" xr:uid="{F3109B4B-3DFE-49E5-82BB-4314DDDD371F}"/>
    <cellStyle name="Currency 5 5 2 2 4" xfId="9297" xr:uid="{FCCA6BAA-D749-4B0A-9C9C-40064706225E}"/>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7B6D370F-6716-46D6-9428-EAEB4044CEE3}"/>
    <cellStyle name="Currency 5 5 2 3 2 3" xfId="11855" xr:uid="{235C3581-B2BA-4AAD-88EB-9C7C59127020}"/>
    <cellStyle name="Currency 5 5 2 3 3" xfId="5489" xr:uid="{00000000-0005-0000-0000-0000450D0000}"/>
    <cellStyle name="Currency 5 5 2 3 3 2" xfId="13928" xr:uid="{FC4E21F5-337B-4A25-BCA7-083D62A9FDEB}"/>
    <cellStyle name="Currency 5 5 2 3 4" xfId="9710" xr:uid="{A9BFFED7-41D2-48C4-8631-18E8F22B2E81}"/>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4D3FA937-D5F9-4D11-A3CF-F11E553450D1}"/>
    <cellStyle name="Currency 5 5 2 4 2 3" xfId="12268" xr:uid="{7AAEB2E9-66B3-4091-B5A9-8E8E66D50AB0}"/>
    <cellStyle name="Currency 5 5 2 4 3" xfId="5902" xr:uid="{00000000-0005-0000-0000-0000490D0000}"/>
    <cellStyle name="Currency 5 5 2 4 3 2" xfId="14341" xr:uid="{AD7D2A20-6431-48DB-8178-85E93B9CF896}"/>
    <cellStyle name="Currency 5 5 2 4 4" xfId="10123" xr:uid="{CC86E1BE-DEDE-4126-8B9D-8E3DBB67BE5A}"/>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D733E460-8E4A-4E81-9224-C0E8C376639A}"/>
    <cellStyle name="Currency 5 5 2 5 2 3" xfId="12681" xr:uid="{8A6DC7A7-4F1A-4EA8-9179-EDB789CAA267}"/>
    <cellStyle name="Currency 5 5 2 5 3" xfId="6315" xr:uid="{00000000-0005-0000-0000-00004D0D0000}"/>
    <cellStyle name="Currency 5 5 2 5 3 2" xfId="14754" xr:uid="{C21C55ED-C6E5-4528-BDF7-9D3D149EBF59}"/>
    <cellStyle name="Currency 5 5 2 5 4" xfId="10536" xr:uid="{6F14D92B-B023-4E62-A7BC-75DB0565092D}"/>
    <cellStyle name="Currency 5 5 2 6" xfId="2443" xr:uid="{00000000-0005-0000-0000-00004E0D0000}"/>
    <cellStyle name="Currency 5 5 2 6 2" xfId="6728" xr:uid="{00000000-0005-0000-0000-00004F0D0000}"/>
    <cellStyle name="Currency 5 5 2 6 2 2" xfId="15167" xr:uid="{0B5276A3-BDDC-4A8F-9957-07FAC8CB5EC5}"/>
    <cellStyle name="Currency 5 5 2 6 3" xfId="10949" xr:uid="{CB029F7A-1669-4E81-96BF-D1130EC00B3A}"/>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98EAF6E7-7251-4641-AB05-FF6FF0D1B07B}"/>
    <cellStyle name="Currency 5 5 2 8 3" xfId="11266" xr:uid="{33A7C719-AC09-4CF6-A97F-FE4177EDEFA0}"/>
    <cellStyle name="Currency 5 5 2 9" xfId="4662" xr:uid="{00000000-0005-0000-0000-0000530D0000}"/>
    <cellStyle name="Currency 5 5 2 9 2" xfId="13101" xr:uid="{B792D625-81AC-4B07-8DB0-6D83208A140F}"/>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10314950-95EB-47D8-AE82-B8BC209B172A}"/>
    <cellStyle name="Currency 5 5 3 2 3" xfId="11441" xr:uid="{9FF92EDC-4D0C-410E-961E-3BE2D38BC152}"/>
    <cellStyle name="Currency 5 5 3 3" xfId="5075" xr:uid="{00000000-0005-0000-0000-0000570D0000}"/>
    <cellStyle name="Currency 5 5 3 3 2" xfId="13514" xr:uid="{84EE0C83-9ED2-4073-8DFC-5BF633F73774}"/>
    <cellStyle name="Currency 5 5 3 4" xfId="9296" xr:uid="{9F1D4CE5-E504-4A7C-B72A-55E2C3171FF5}"/>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9DF8BE84-FE11-4DFD-BBD9-4AC7E1BA51C1}"/>
    <cellStyle name="Currency 5 5 4 2 3" xfId="11854" xr:uid="{394CD0CF-1D60-47FB-AE91-A008EA9E2DD0}"/>
    <cellStyle name="Currency 5 5 4 3" xfId="5488" xr:uid="{00000000-0005-0000-0000-00005B0D0000}"/>
    <cellStyle name="Currency 5 5 4 3 2" xfId="13927" xr:uid="{DC40B7BA-CBDF-497C-B451-E36DC2DDF240}"/>
    <cellStyle name="Currency 5 5 4 4" xfId="9709" xr:uid="{BEE34D86-E374-46CE-91A6-C871BA9199B5}"/>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8B89E142-DB8F-4BBC-ACB8-73D8C710659A}"/>
    <cellStyle name="Currency 5 5 5 2 3" xfId="12267" xr:uid="{5089E4D9-F93A-4C51-B6AF-F2944F812515}"/>
    <cellStyle name="Currency 5 5 5 3" xfId="5901" xr:uid="{00000000-0005-0000-0000-00005F0D0000}"/>
    <cellStyle name="Currency 5 5 5 3 2" xfId="14340" xr:uid="{0D8BC9DE-FAD7-4512-A742-29100FB1DE2C}"/>
    <cellStyle name="Currency 5 5 5 4" xfId="10122" xr:uid="{1AFADA68-D964-45F7-A1EB-43AA5DBC3CE6}"/>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C372E0D8-2AE4-4D34-B9EF-4DA058F8C266}"/>
    <cellStyle name="Currency 5 5 6 2 3" xfId="12680" xr:uid="{E42CF05F-BE85-4343-97C4-7293516BFB0C}"/>
    <cellStyle name="Currency 5 5 6 3" xfId="6314" xr:uid="{00000000-0005-0000-0000-0000630D0000}"/>
    <cellStyle name="Currency 5 5 6 3 2" xfId="14753" xr:uid="{6F58D042-879B-4495-ACCF-D42928E6DB2B}"/>
    <cellStyle name="Currency 5 5 6 4" xfId="10535" xr:uid="{0B8F9FFB-53DA-4C67-8AF6-5FADB3A7BC79}"/>
    <cellStyle name="Currency 5 5 7" xfId="2442" xr:uid="{00000000-0005-0000-0000-0000640D0000}"/>
    <cellStyle name="Currency 5 5 7 2" xfId="6727" xr:uid="{00000000-0005-0000-0000-0000650D0000}"/>
    <cellStyle name="Currency 5 5 7 2 2" xfId="15166" xr:uid="{46C4E5D8-C43E-41F0-A5C0-72A0DF7C1B0E}"/>
    <cellStyle name="Currency 5 5 7 3" xfId="10948" xr:uid="{347FA3D5-583A-42DD-9A61-9AEFD6DAF02E}"/>
    <cellStyle name="Currency 5 5 8" xfId="2739" xr:uid="{00000000-0005-0000-0000-0000660D0000}"/>
    <cellStyle name="Currency 5 5 9" xfId="2820" xr:uid="{00000000-0005-0000-0000-0000670D0000}"/>
    <cellStyle name="Currency 5 5 9 2" xfId="7044" xr:uid="{00000000-0005-0000-0000-0000680D0000}"/>
    <cellStyle name="Currency 5 5 9 2 2" xfId="15483" xr:uid="{45E5E3A4-C119-447F-BDE6-C2179C98D68B}"/>
    <cellStyle name="Currency 5 5 9 3" xfId="11265" xr:uid="{D8A82C3B-54CE-4386-B95F-1D7729CDC0C1}"/>
    <cellStyle name="Currency 5 6" xfId="221" xr:uid="{00000000-0005-0000-0000-0000690D0000}"/>
    <cellStyle name="Currency 5 6 10" xfId="8884" xr:uid="{689597E2-3854-451F-AD1C-1CF3CB77DCE8}"/>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4A46EF9C-F957-4968-B84D-55939F7580ED}"/>
    <cellStyle name="Currency 5 6 2 2 3" xfId="11443" xr:uid="{C5223FEC-DE56-46E4-B270-30B518B09AB1}"/>
    <cellStyle name="Currency 5 6 2 3" xfId="5077" xr:uid="{00000000-0005-0000-0000-00006D0D0000}"/>
    <cellStyle name="Currency 5 6 2 3 2" xfId="13516" xr:uid="{577211A3-D1D8-49A4-97DD-8D496AA6FCB9}"/>
    <cellStyle name="Currency 5 6 2 4" xfId="9298" xr:uid="{51BE3D77-D071-4C5A-B7D2-44848DCFADA8}"/>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0B88EBC5-EB24-4CB0-B4E3-698EF605C194}"/>
    <cellStyle name="Currency 5 6 3 2 3" xfId="11856" xr:uid="{727F84E5-3A4F-48E3-93CE-E955D9A06FE6}"/>
    <cellStyle name="Currency 5 6 3 3" xfId="5490" xr:uid="{00000000-0005-0000-0000-0000710D0000}"/>
    <cellStyle name="Currency 5 6 3 3 2" xfId="13929" xr:uid="{4C5BFC8F-ED18-403D-B344-A85E7B028044}"/>
    <cellStyle name="Currency 5 6 3 4" xfId="9711" xr:uid="{45CB9A2B-A8A1-4CEB-B871-F8A82237A3D3}"/>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21C9B0B8-7BB2-4F6D-A538-11A763ED600A}"/>
    <cellStyle name="Currency 5 6 4 2 3" xfId="12269" xr:uid="{005B42F3-F993-4002-A3D6-2C7C97CE9E3D}"/>
    <cellStyle name="Currency 5 6 4 3" xfId="5903" xr:uid="{00000000-0005-0000-0000-0000750D0000}"/>
    <cellStyle name="Currency 5 6 4 3 2" xfId="14342" xr:uid="{33D57DBB-4A8B-4A64-A4F7-41DE7BF92B27}"/>
    <cellStyle name="Currency 5 6 4 4" xfId="10124" xr:uid="{E7AB6725-6FA0-4A35-A8ED-B30672889B56}"/>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DF9799E7-6518-4FCE-99C5-5F7B98B27373}"/>
    <cellStyle name="Currency 5 6 5 2 3" xfId="12682" xr:uid="{A842877F-4B33-4996-A76D-A4A587ED681C}"/>
    <cellStyle name="Currency 5 6 5 3" xfId="6316" xr:uid="{00000000-0005-0000-0000-0000790D0000}"/>
    <cellStyle name="Currency 5 6 5 3 2" xfId="14755" xr:uid="{2D2A91AF-344B-469C-A3F4-F17CCC8011EC}"/>
    <cellStyle name="Currency 5 6 5 4" xfId="10537" xr:uid="{518747B9-9BDB-4019-87DD-B382279F8C66}"/>
    <cellStyle name="Currency 5 6 6" xfId="2444" xr:uid="{00000000-0005-0000-0000-00007A0D0000}"/>
    <cellStyle name="Currency 5 6 6 2" xfId="6729" xr:uid="{00000000-0005-0000-0000-00007B0D0000}"/>
    <cellStyle name="Currency 5 6 6 2 2" xfId="15168" xr:uid="{A1C2FD25-7394-42E2-9297-E6AB4096DD90}"/>
    <cellStyle name="Currency 5 6 6 3" xfId="10950" xr:uid="{63E8D8A2-302C-4FEB-81DA-565BE06C0635}"/>
    <cellStyle name="Currency 5 6 7" xfId="2741" xr:uid="{00000000-0005-0000-0000-00007C0D0000}"/>
    <cellStyle name="Currency 5 6 8" xfId="2822" xr:uid="{00000000-0005-0000-0000-00007D0D0000}"/>
    <cellStyle name="Currency 5 6 8 2" xfId="7046" xr:uid="{00000000-0005-0000-0000-00007E0D0000}"/>
    <cellStyle name="Currency 5 6 8 2 2" xfId="15485" xr:uid="{DC90B9EB-D9E9-4F56-9D00-FC28306DD791}"/>
    <cellStyle name="Currency 5 6 8 3" xfId="11267" xr:uid="{59E8119A-B9C0-423F-9257-EA2BB61B5664}"/>
    <cellStyle name="Currency 5 6 9" xfId="4663" xr:uid="{00000000-0005-0000-0000-00007F0D0000}"/>
    <cellStyle name="Currency 5 6 9 2" xfId="13102" xr:uid="{11BA666D-8B07-40F8-83BC-A00290A3AFE8}"/>
    <cellStyle name="Currency 5 7" xfId="222" xr:uid="{00000000-0005-0000-0000-0000800D0000}"/>
    <cellStyle name="Currency 5 7 10" xfId="8885" xr:uid="{F9716CC7-621B-46E0-9F7B-84B524C1B65E}"/>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81B344E1-5854-4D4F-B63A-EDD66606FC7E}"/>
    <cellStyle name="Currency 5 7 2 2 3" xfId="11444" xr:uid="{17DCD12E-8157-4267-8F12-88F2E8ED7974}"/>
    <cellStyle name="Currency 5 7 2 3" xfId="5078" xr:uid="{00000000-0005-0000-0000-0000840D0000}"/>
    <cellStyle name="Currency 5 7 2 3 2" xfId="13517" xr:uid="{B8BF8F06-AB4F-454B-9DB7-BFD5BBBB830D}"/>
    <cellStyle name="Currency 5 7 2 4" xfId="9299" xr:uid="{ACEC7227-F972-44A1-85E2-86CF90E6039E}"/>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82A3B6E8-B4AC-498E-BFF0-FF48338E14CF}"/>
    <cellStyle name="Currency 5 7 3 2 3" xfId="11857" xr:uid="{F2C05D8D-8CD8-4825-A777-85D4899FA39E}"/>
    <cellStyle name="Currency 5 7 3 3" xfId="5491" xr:uid="{00000000-0005-0000-0000-0000880D0000}"/>
    <cellStyle name="Currency 5 7 3 3 2" xfId="13930" xr:uid="{6AC57E0C-A82D-49AF-995D-6589AAE47861}"/>
    <cellStyle name="Currency 5 7 3 4" xfId="9712" xr:uid="{90821CFE-EEE0-43D2-8541-499D6119F95B}"/>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733C90B0-9642-42C7-9BD0-25D4FEB7017A}"/>
    <cellStyle name="Currency 5 7 4 2 3" xfId="12270" xr:uid="{1A51F903-0BAD-4CEE-8551-DC202C372651}"/>
    <cellStyle name="Currency 5 7 4 3" xfId="5904" xr:uid="{00000000-0005-0000-0000-00008C0D0000}"/>
    <cellStyle name="Currency 5 7 4 3 2" xfId="14343" xr:uid="{1AF18279-5EBD-4AD0-B56C-20A3148A2012}"/>
    <cellStyle name="Currency 5 7 4 4" xfId="10125" xr:uid="{EA418EFC-E659-48AD-B6AB-5924ED2A2E77}"/>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3FD445A2-BCD9-46B4-AFF6-E397F4478FF0}"/>
    <cellStyle name="Currency 5 7 5 2 3" xfId="12683" xr:uid="{4CCFA192-1216-4A6A-B204-15FCF3A99444}"/>
    <cellStyle name="Currency 5 7 5 3" xfId="6317" xr:uid="{00000000-0005-0000-0000-0000900D0000}"/>
    <cellStyle name="Currency 5 7 5 3 2" xfId="14756" xr:uid="{B855E46F-8D61-4DAF-8B0C-BE9A13FF0D33}"/>
    <cellStyle name="Currency 5 7 5 4" xfId="10538" xr:uid="{71B934CC-572A-4023-9906-879C2C9AD944}"/>
    <cellStyle name="Currency 5 7 6" xfId="2445" xr:uid="{00000000-0005-0000-0000-0000910D0000}"/>
    <cellStyle name="Currency 5 7 6 2" xfId="6730" xr:uid="{00000000-0005-0000-0000-0000920D0000}"/>
    <cellStyle name="Currency 5 7 6 2 2" xfId="15169" xr:uid="{F07B103D-F214-47D0-BD8E-BF7585DFCD81}"/>
    <cellStyle name="Currency 5 7 6 3" xfId="10951" xr:uid="{4F140CAB-4839-41D7-89E6-E70681475764}"/>
    <cellStyle name="Currency 5 7 7" xfId="2742" xr:uid="{00000000-0005-0000-0000-0000930D0000}"/>
    <cellStyle name="Currency 5 7 8" xfId="2823" xr:uid="{00000000-0005-0000-0000-0000940D0000}"/>
    <cellStyle name="Currency 5 7 8 2" xfId="7047" xr:uid="{00000000-0005-0000-0000-0000950D0000}"/>
    <cellStyle name="Currency 5 7 8 2 2" xfId="15486" xr:uid="{5A1BC4BC-66BC-4CF0-8F1E-A7E6CD77CF4A}"/>
    <cellStyle name="Currency 5 7 8 3" xfId="11268" xr:uid="{19EF26DF-7390-4C79-A8F8-4A4E1AA20C33}"/>
    <cellStyle name="Currency 5 7 9" xfId="4664" xr:uid="{00000000-0005-0000-0000-0000960D0000}"/>
    <cellStyle name="Currency 5 7 9 2" xfId="13103" xr:uid="{AC5BA1D2-E04A-450D-B66A-79507E4947E3}"/>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FD4B62D8-E5DD-49D4-A55C-9187646C5894}"/>
    <cellStyle name="Normal 12 10 3" xfId="10952" xr:uid="{5AC56C55-020A-4FAB-94F0-F4BFCA3AD2A6}"/>
    <cellStyle name="Normal 12 11" xfId="4665" xr:uid="{00000000-0005-0000-0000-0000CC0D0000}"/>
    <cellStyle name="Normal 12 11 2" xfId="13104" xr:uid="{CE3455AE-EC13-44D1-922A-D1658F6552EE}"/>
    <cellStyle name="Normal 12 12" xfId="8886" xr:uid="{B0A39B69-F542-4DCC-8C53-674E91A5E8BF}"/>
    <cellStyle name="Normal 12 2" xfId="260" xr:uid="{00000000-0005-0000-0000-0000CD0D0000}"/>
    <cellStyle name="Normal 12 2 10" xfId="8887" xr:uid="{6D9E7AF4-D85D-457A-9DFE-B372DC7BD4A6}"/>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C72B9B8B-C6CC-4AFA-9958-4047DEFE58BC}"/>
    <cellStyle name="Normal 12 2 2 2 2 2 3" xfId="11448" xr:uid="{7F11A0AD-4448-43C0-B81F-116C4297AA10}"/>
    <cellStyle name="Normal 12 2 2 2 2 3" xfId="5082" xr:uid="{00000000-0005-0000-0000-0000D30D0000}"/>
    <cellStyle name="Normal 12 2 2 2 2 3 2" xfId="13521" xr:uid="{12DA3C9A-8E88-4C08-9CE4-F3EF2DF21F78}"/>
    <cellStyle name="Normal 12 2 2 2 2 4" xfId="9303" xr:uid="{C47E151A-15CF-418E-AB97-5C4720B1FB96}"/>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A7ECC982-BBC2-4C02-9069-95D55E6F5C3B}"/>
    <cellStyle name="Normal 12 2 2 2 3 2 3" xfId="11861" xr:uid="{FD4D585B-A196-4AF7-A74F-809CA01CF3A2}"/>
    <cellStyle name="Normal 12 2 2 2 3 3" xfId="5495" xr:uid="{00000000-0005-0000-0000-0000D70D0000}"/>
    <cellStyle name="Normal 12 2 2 2 3 3 2" xfId="13934" xr:uid="{67C743C4-2A45-4FDD-A51A-0670B3B62CDA}"/>
    <cellStyle name="Normal 12 2 2 2 3 4" xfId="9716" xr:uid="{4DA10931-C58A-442C-9CB6-3EA0B4F1FEF1}"/>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12BCBB2A-0D81-425D-BB85-4447755FB522}"/>
    <cellStyle name="Normal 12 2 2 2 4 2 3" xfId="12274" xr:uid="{4CEFC2FA-995C-4284-B9A6-40E944971221}"/>
    <cellStyle name="Normal 12 2 2 2 4 3" xfId="5908" xr:uid="{00000000-0005-0000-0000-0000DB0D0000}"/>
    <cellStyle name="Normal 12 2 2 2 4 3 2" xfId="14347" xr:uid="{20239652-8331-494A-8490-8C879E9D63C8}"/>
    <cellStyle name="Normal 12 2 2 2 4 4" xfId="10129" xr:uid="{13830C79-7F41-4A62-8449-78EEE0D0B44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B1F47617-485E-48AF-A314-7D35D7F7CACE}"/>
    <cellStyle name="Normal 12 2 2 2 5 2 3" xfId="12687" xr:uid="{FD27D55C-459D-41C0-A4E2-2BAD1E628B4B}"/>
    <cellStyle name="Normal 12 2 2 2 5 3" xfId="6321" xr:uid="{00000000-0005-0000-0000-0000DF0D0000}"/>
    <cellStyle name="Normal 12 2 2 2 5 3 2" xfId="14760" xr:uid="{20DAC81F-77D5-4FAB-A3E1-B18B2F05530A}"/>
    <cellStyle name="Normal 12 2 2 2 5 4" xfId="10542" xr:uid="{84B061C9-EB77-41AC-8897-CAED031805E0}"/>
    <cellStyle name="Normal 12 2 2 2 6" xfId="2450" xr:uid="{00000000-0005-0000-0000-0000E00D0000}"/>
    <cellStyle name="Normal 12 2 2 2 6 2" xfId="6734" xr:uid="{00000000-0005-0000-0000-0000E10D0000}"/>
    <cellStyle name="Normal 12 2 2 2 6 2 2" xfId="15173" xr:uid="{3A6D9FDD-C123-486A-BD58-EB7337FDB389}"/>
    <cellStyle name="Normal 12 2 2 2 6 3" xfId="10955" xr:uid="{D2BB54B9-43B8-44D9-8953-132CC616D42A}"/>
    <cellStyle name="Normal 12 2 2 2 7" xfId="4668" xr:uid="{00000000-0005-0000-0000-0000E20D0000}"/>
    <cellStyle name="Normal 12 2 2 2 7 2" xfId="13107" xr:uid="{CA259987-7F7E-484B-9E36-449AFBAE4736}"/>
    <cellStyle name="Normal 12 2 2 2 8" xfId="8889" xr:uid="{59CDE3BD-F268-4FBE-881B-2A3EC785204F}"/>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6AB8BE24-624D-4863-81FC-E71FCBD0E0C9}"/>
    <cellStyle name="Normal 12 2 2 3 2 3" xfId="11447" xr:uid="{BD3597E3-DEA5-40BF-B3FB-7F6579894626}"/>
    <cellStyle name="Normal 12 2 2 3 3" xfId="5081" xr:uid="{00000000-0005-0000-0000-0000E60D0000}"/>
    <cellStyle name="Normal 12 2 2 3 3 2" xfId="13520" xr:uid="{E542AA8A-10CB-4FA4-92D1-BB0142D0465E}"/>
    <cellStyle name="Normal 12 2 2 3 4" xfId="9302" xr:uid="{0846FE36-AA9F-4A47-A9A2-8BEE7BE62753}"/>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8213C865-7B29-4800-9409-602D228244C9}"/>
    <cellStyle name="Normal 12 2 2 4 2 3" xfId="11860" xr:uid="{A1155CC6-EEF7-4D52-8664-5135014979F0}"/>
    <cellStyle name="Normal 12 2 2 4 3" xfId="5494" xr:uid="{00000000-0005-0000-0000-0000EA0D0000}"/>
    <cellStyle name="Normal 12 2 2 4 3 2" xfId="13933" xr:uid="{A8CB9095-6256-4D00-B4A3-54A093D9CFC0}"/>
    <cellStyle name="Normal 12 2 2 4 4" xfId="9715" xr:uid="{FDD2102D-9D82-4FA9-86E3-496BA9E41AA3}"/>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671682CB-5159-4B9E-8D41-A1356244B378}"/>
    <cellStyle name="Normal 12 2 2 5 2 3" xfId="12273" xr:uid="{60FE9DC8-74CE-4388-A1D6-6A8510658468}"/>
    <cellStyle name="Normal 12 2 2 5 3" xfId="5907" xr:uid="{00000000-0005-0000-0000-0000EE0D0000}"/>
    <cellStyle name="Normal 12 2 2 5 3 2" xfId="14346" xr:uid="{E865E45B-1275-4EEF-BF96-38A078131754}"/>
    <cellStyle name="Normal 12 2 2 5 4" xfId="10128" xr:uid="{71D8B091-C7AF-4ECB-8C05-E86D57C30E2A}"/>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FCF20FB8-9446-4DD5-9C8E-58F37AD611E5}"/>
    <cellStyle name="Normal 12 2 2 6 2 3" xfId="12686" xr:uid="{B9387B7F-5A9C-4FAA-B465-BD0905BA170A}"/>
    <cellStyle name="Normal 12 2 2 6 3" xfId="6320" xr:uid="{00000000-0005-0000-0000-0000F20D0000}"/>
    <cellStyle name="Normal 12 2 2 6 3 2" xfId="14759" xr:uid="{CC10B85E-6EFC-4C10-872D-EDE536023A28}"/>
    <cellStyle name="Normal 12 2 2 6 4" xfId="10541" xr:uid="{91896876-D129-4796-8965-AEB01575B758}"/>
    <cellStyle name="Normal 12 2 2 7" xfId="2449" xr:uid="{00000000-0005-0000-0000-0000F30D0000}"/>
    <cellStyle name="Normal 12 2 2 7 2" xfId="6733" xr:uid="{00000000-0005-0000-0000-0000F40D0000}"/>
    <cellStyle name="Normal 12 2 2 7 2 2" xfId="15172" xr:uid="{91FB2A0C-D40C-4937-956D-A1F36BC897DB}"/>
    <cellStyle name="Normal 12 2 2 7 3" xfId="10954" xr:uid="{51215F70-5208-4A90-9D21-7EE66AFD9E41}"/>
    <cellStyle name="Normal 12 2 2 8" xfId="4667" xr:uid="{00000000-0005-0000-0000-0000F50D0000}"/>
    <cellStyle name="Normal 12 2 2 8 2" xfId="13106" xr:uid="{45A50897-5647-4341-8C04-96086C1769B3}"/>
    <cellStyle name="Normal 12 2 2 9" xfId="8888" xr:uid="{1BD8C912-6A80-4BF1-B2B6-C805E52CB2E3}"/>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64141A16-C9C0-498C-A0B9-8C01014FE044}"/>
    <cellStyle name="Normal 12 2 3 2 2 3" xfId="11449" xr:uid="{05355446-4F0F-4D8C-BC5D-5E7D6FEE4F2C}"/>
    <cellStyle name="Normal 12 2 3 2 3" xfId="5083" xr:uid="{00000000-0005-0000-0000-0000FA0D0000}"/>
    <cellStyle name="Normal 12 2 3 2 3 2" xfId="13522" xr:uid="{1BE87F13-009D-4AE0-A32C-A5CA9F1257EF}"/>
    <cellStyle name="Normal 12 2 3 2 4" xfId="9304" xr:uid="{7D51E1E1-C2BB-4303-A7B6-3F187E3BE1A4}"/>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DAF64513-D11C-4885-83F9-409D26153604}"/>
    <cellStyle name="Normal 12 2 3 3 2 3" xfId="11862" xr:uid="{E52BCFCC-D075-4EF0-9F35-DA2B6EF01E01}"/>
    <cellStyle name="Normal 12 2 3 3 3" xfId="5496" xr:uid="{00000000-0005-0000-0000-0000FE0D0000}"/>
    <cellStyle name="Normal 12 2 3 3 3 2" xfId="13935" xr:uid="{C7C67F70-0409-4144-A632-71D29B4D515C}"/>
    <cellStyle name="Normal 12 2 3 3 4" xfId="9717" xr:uid="{5217B3B4-8BF3-4FD6-ACC0-2560B55A72A5}"/>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EA08D176-53E2-4294-9ADD-E6AAB9626862}"/>
    <cellStyle name="Normal 12 2 3 4 2 3" xfId="12275" xr:uid="{0767CBB1-16A4-4614-932F-0F5000000908}"/>
    <cellStyle name="Normal 12 2 3 4 3" xfId="5909" xr:uid="{00000000-0005-0000-0000-0000020E0000}"/>
    <cellStyle name="Normal 12 2 3 4 3 2" xfId="14348" xr:uid="{9A28801A-7D03-44EE-BACC-270E360FED3C}"/>
    <cellStyle name="Normal 12 2 3 4 4" xfId="10130" xr:uid="{7FB0FC3F-C1FD-4A2B-BB9D-96574CD3A876}"/>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8FD3A1BB-7122-4F05-B88B-3F3B65556E7F}"/>
    <cellStyle name="Normal 12 2 3 5 2 3" xfId="12688" xr:uid="{7DB73AC1-D7B1-4C8E-9EC4-74A40F0F491A}"/>
    <cellStyle name="Normal 12 2 3 5 3" xfId="6322" xr:uid="{00000000-0005-0000-0000-0000060E0000}"/>
    <cellStyle name="Normal 12 2 3 5 3 2" xfId="14761" xr:uid="{57E606B0-FE28-4A72-AC11-E9FE8A6C1E5E}"/>
    <cellStyle name="Normal 12 2 3 5 4" xfId="10543" xr:uid="{A6ABA6C0-2452-458F-85AD-EDC470A5221C}"/>
    <cellStyle name="Normal 12 2 3 6" xfId="2451" xr:uid="{00000000-0005-0000-0000-0000070E0000}"/>
    <cellStyle name="Normal 12 2 3 6 2" xfId="6735" xr:uid="{00000000-0005-0000-0000-0000080E0000}"/>
    <cellStyle name="Normal 12 2 3 6 2 2" xfId="15174" xr:uid="{6F1340C1-1C5A-44E6-A9D2-C5348C888792}"/>
    <cellStyle name="Normal 12 2 3 6 3" xfId="10956" xr:uid="{9C84B642-4AB1-4447-9190-AE7485ABB918}"/>
    <cellStyle name="Normal 12 2 3 7" xfId="4669" xr:uid="{00000000-0005-0000-0000-0000090E0000}"/>
    <cellStyle name="Normal 12 2 3 7 2" xfId="13108" xr:uid="{65715BDC-FB6C-41ED-8064-18D2481B8B6C}"/>
    <cellStyle name="Normal 12 2 3 8" xfId="8890" xr:uid="{52977CD5-0DBF-4EAA-8731-DA539C9D5ECB}"/>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1D299614-F8AB-4C23-86C6-47A9E893A89B}"/>
    <cellStyle name="Normal 12 2 4 2 3" xfId="11446" xr:uid="{412402D9-A800-4529-999F-5F1CC49F21BF}"/>
    <cellStyle name="Normal 12 2 4 3" xfId="5080" xr:uid="{00000000-0005-0000-0000-00000D0E0000}"/>
    <cellStyle name="Normal 12 2 4 3 2" xfId="13519" xr:uid="{8C2B49F9-AABD-466C-A618-E70F7D83A9BB}"/>
    <cellStyle name="Normal 12 2 4 4" xfId="9301" xr:uid="{E2718332-6D14-48E9-82E5-152086098DCC}"/>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2E26EFE2-C211-44B8-83F8-4B8AFCA1345D}"/>
    <cellStyle name="Normal 12 2 5 2 3" xfId="11859" xr:uid="{DF5E97F1-65B1-46FA-81BC-1FFE698E0F52}"/>
    <cellStyle name="Normal 12 2 5 3" xfId="5493" xr:uid="{00000000-0005-0000-0000-0000110E0000}"/>
    <cellStyle name="Normal 12 2 5 3 2" xfId="13932" xr:uid="{5587E28C-23B7-4363-A0BB-8A3560E9CA54}"/>
    <cellStyle name="Normal 12 2 5 4" xfId="9714" xr:uid="{DA2AF1C5-CA41-47CF-8DE1-621BEC64B088}"/>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F2C84C55-D578-4292-97DC-C88768291004}"/>
    <cellStyle name="Normal 12 2 6 2 3" xfId="12272" xr:uid="{5780F2CB-2401-4CA4-8B0A-93756CEAC32E}"/>
    <cellStyle name="Normal 12 2 6 3" xfId="5906" xr:uid="{00000000-0005-0000-0000-0000150E0000}"/>
    <cellStyle name="Normal 12 2 6 3 2" xfId="14345" xr:uid="{5BC90E1B-0E64-4AA5-82E3-9A196A520EDC}"/>
    <cellStyle name="Normal 12 2 6 4" xfId="10127" xr:uid="{B9A66B38-953A-4823-A9E8-AAFFDCF2B5C0}"/>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03062E9A-79F1-4B67-8645-15185BB0033D}"/>
    <cellStyle name="Normal 12 2 7 2 3" xfId="12685" xr:uid="{87273D43-E00A-4811-B125-A24E62F81ECD}"/>
    <cellStyle name="Normal 12 2 7 3" xfId="6319" xr:uid="{00000000-0005-0000-0000-0000190E0000}"/>
    <cellStyle name="Normal 12 2 7 3 2" xfId="14758" xr:uid="{D2678A23-ACDC-4102-90FC-1947429EBC84}"/>
    <cellStyle name="Normal 12 2 7 4" xfId="10540" xr:uid="{54BD82FA-83E2-4708-87AE-6E97EBC69AD4}"/>
    <cellStyle name="Normal 12 2 8" xfId="2448" xr:uid="{00000000-0005-0000-0000-00001A0E0000}"/>
    <cellStyle name="Normal 12 2 8 2" xfId="6732" xr:uid="{00000000-0005-0000-0000-00001B0E0000}"/>
    <cellStyle name="Normal 12 2 8 2 2" xfId="15171" xr:uid="{B172BC05-5AE1-4710-AFD5-7AFDE447F7C9}"/>
    <cellStyle name="Normal 12 2 8 3" xfId="10953" xr:uid="{429B051B-0FEF-4A77-A47F-CD319D9F15FC}"/>
    <cellStyle name="Normal 12 2 9" xfId="4666" xr:uid="{00000000-0005-0000-0000-00001C0E0000}"/>
    <cellStyle name="Normal 12 2 9 2" xfId="13105" xr:uid="{C63258C6-6836-43BC-8A85-19D81F1D6844}"/>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F2025E3D-55F0-4DC5-976F-CD6CA50D0B80}"/>
    <cellStyle name="Normal 12 3 2 2 2 3" xfId="11451" xr:uid="{6B32F212-B49C-407E-81C8-6EC854FF5C75}"/>
    <cellStyle name="Normal 12 3 2 2 3" xfId="5085" xr:uid="{00000000-0005-0000-0000-0000220E0000}"/>
    <cellStyle name="Normal 12 3 2 2 3 2" xfId="13524" xr:uid="{90FBE0EC-F691-4A3C-B7E7-F38CC6573638}"/>
    <cellStyle name="Normal 12 3 2 2 4" xfId="9306" xr:uid="{0457C5D6-1A13-49FE-AF36-16193367579E}"/>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85F4F0C3-4FAC-4B13-A05A-69418F595DEA}"/>
    <cellStyle name="Normal 12 3 2 3 2 3" xfId="11864" xr:uid="{6D21B6E7-5D2F-4CAF-974F-22275930600A}"/>
    <cellStyle name="Normal 12 3 2 3 3" xfId="5498" xr:uid="{00000000-0005-0000-0000-0000260E0000}"/>
    <cellStyle name="Normal 12 3 2 3 3 2" xfId="13937" xr:uid="{6E5320C8-4BD7-4FD0-A7C5-53AFB8304261}"/>
    <cellStyle name="Normal 12 3 2 3 4" xfId="9719" xr:uid="{93E06A42-C1AF-401A-98C8-87AE7B02F085}"/>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CB14E1D5-8CB5-4FD1-AD1F-E073256A4176}"/>
    <cellStyle name="Normal 12 3 2 4 2 3" xfId="12277" xr:uid="{E8999C84-DF6C-494E-BEA3-06F9A2E1295E}"/>
    <cellStyle name="Normal 12 3 2 4 3" xfId="5911" xr:uid="{00000000-0005-0000-0000-00002A0E0000}"/>
    <cellStyle name="Normal 12 3 2 4 3 2" xfId="14350" xr:uid="{BDC1D7EF-AF7F-4EAA-BF83-CB515144DB01}"/>
    <cellStyle name="Normal 12 3 2 4 4" xfId="10132" xr:uid="{DE0EB122-31DF-45CD-864B-A3547FC14B28}"/>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6C15A4B9-D0A4-490D-85FD-AFBD9FC287CD}"/>
    <cellStyle name="Normal 12 3 2 5 2 3" xfId="12690" xr:uid="{0C4E9392-DB2C-4A81-B051-68E029C96E8C}"/>
    <cellStyle name="Normal 12 3 2 5 3" xfId="6324" xr:uid="{00000000-0005-0000-0000-00002E0E0000}"/>
    <cellStyle name="Normal 12 3 2 5 3 2" xfId="14763" xr:uid="{041064E7-30A3-4F19-B856-CBA707DCB803}"/>
    <cellStyle name="Normal 12 3 2 5 4" xfId="10545" xr:uid="{1DC0927F-890E-4A64-B74E-4E43E5980629}"/>
    <cellStyle name="Normal 12 3 2 6" xfId="2453" xr:uid="{00000000-0005-0000-0000-00002F0E0000}"/>
    <cellStyle name="Normal 12 3 2 6 2" xfId="6737" xr:uid="{00000000-0005-0000-0000-0000300E0000}"/>
    <cellStyle name="Normal 12 3 2 6 2 2" xfId="15176" xr:uid="{98F832A7-3908-4229-8A84-5EF82E15984A}"/>
    <cellStyle name="Normal 12 3 2 6 3" xfId="10958" xr:uid="{B6AFAFBB-2DBE-41C4-A3E7-D34A8C166039}"/>
    <cellStyle name="Normal 12 3 2 7" xfId="4671" xr:uid="{00000000-0005-0000-0000-0000310E0000}"/>
    <cellStyle name="Normal 12 3 2 7 2" xfId="13110" xr:uid="{74070C82-B451-497D-8B43-B36BB1774323}"/>
    <cellStyle name="Normal 12 3 2 8" xfId="8892" xr:uid="{507FB92B-BDE3-4699-84BD-6E1A42AE4A5F}"/>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F22BF8A4-9832-4B7D-A61B-DF6619B7359F}"/>
    <cellStyle name="Normal 12 3 3 2 3" xfId="11450" xr:uid="{BC33540C-8610-414A-952B-2CD62CBC6F1B}"/>
    <cellStyle name="Normal 12 3 3 3" xfId="5084" xr:uid="{00000000-0005-0000-0000-0000350E0000}"/>
    <cellStyle name="Normal 12 3 3 3 2" xfId="13523" xr:uid="{19EF8696-6F03-46CD-B1F7-41B2D0FEAA72}"/>
    <cellStyle name="Normal 12 3 3 4" xfId="9305" xr:uid="{7FD2FB13-9852-450A-A417-231C446C192F}"/>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44F5E7E9-FBA1-4715-99E5-347B79258961}"/>
    <cellStyle name="Normal 12 3 4 2 3" xfId="11863" xr:uid="{D2E277C2-17B4-4E0C-A0B0-AC135BD9B7D6}"/>
    <cellStyle name="Normal 12 3 4 3" xfId="5497" xr:uid="{00000000-0005-0000-0000-0000390E0000}"/>
    <cellStyle name="Normal 12 3 4 3 2" xfId="13936" xr:uid="{47A1F536-8934-4533-A31D-6F89F4654C30}"/>
    <cellStyle name="Normal 12 3 4 4" xfId="9718" xr:uid="{5448C88B-F19A-472E-8B52-6E9DD81B1B68}"/>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5ED64FE1-2E38-48CD-B82D-6360B1E018D4}"/>
    <cellStyle name="Normal 12 3 5 2 3" xfId="12276" xr:uid="{52B295F6-3699-46BE-8007-FD8E073466E2}"/>
    <cellStyle name="Normal 12 3 5 3" xfId="5910" xr:uid="{00000000-0005-0000-0000-00003D0E0000}"/>
    <cellStyle name="Normal 12 3 5 3 2" xfId="14349" xr:uid="{5DEB76AB-526A-459E-B69A-266AE13AAB0A}"/>
    <cellStyle name="Normal 12 3 5 4" xfId="10131" xr:uid="{78A5C0E5-DD1D-4757-AC74-8F3CD400146F}"/>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6A97CFA7-E670-45B8-A847-87C03FEA6D5A}"/>
    <cellStyle name="Normal 12 3 6 2 3" xfId="12689" xr:uid="{2582F00C-6F15-44BE-AFFC-92842D93D722}"/>
    <cellStyle name="Normal 12 3 6 3" xfId="6323" xr:uid="{00000000-0005-0000-0000-0000410E0000}"/>
    <cellStyle name="Normal 12 3 6 3 2" xfId="14762" xr:uid="{EC6369AF-F810-4C8F-A27A-733D7B5FFC04}"/>
    <cellStyle name="Normal 12 3 6 4" xfId="10544" xr:uid="{273D93DE-F9A2-4BB9-9FC8-AE4BA681E12F}"/>
    <cellStyle name="Normal 12 3 7" xfId="2452" xr:uid="{00000000-0005-0000-0000-0000420E0000}"/>
    <cellStyle name="Normal 12 3 7 2" xfId="6736" xr:uid="{00000000-0005-0000-0000-0000430E0000}"/>
    <cellStyle name="Normal 12 3 7 2 2" xfId="15175" xr:uid="{7EEBABF4-7A43-4646-BF36-AE8B0947C428}"/>
    <cellStyle name="Normal 12 3 7 3" xfId="10957" xr:uid="{99BDD437-D1B0-4E29-B11F-49052135B1F3}"/>
    <cellStyle name="Normal 12 3 8" xfId="4670" xr:uid="{00000000-0005-0000-0000-0000440E0000}"/>
    <cellStyle name="Normal 12 3 8 2" xfId="13109" xr:uid="{E1AD79A8-A8F3-4CF9-BFCB-4F927B88A0AC}"/>
    <cellStyle name="Normal 12 3 9" xfId="8891" xr:uid="{7F6E60F6-1E8B-4B44-91B1-A7D14C93348B}"/>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0CE9DA22-8AC1-44E8-9B2B-42A5E85AFF2C}"/>
    <cellStyle name="Normal 12 4 2 2 3" xfId="11452" xr:uid="{271BE834-E112-422E-B2CE-0DDB04376985}"/>
    <cellStyle name="Normal 12 4 2 3" xfId="5086" xr:uid="{00000000-0005-0000-0000-0000490E0000}"/>
    <cellStyle name="Normal 12 4 2 3 2" xfId="13525" xr:uid="{46B58171-944B-4D18-9CAD-BDD7D6DEA049}"/>
    <cellStyle name="Normal 12 4 2 4" xfId="9307" xr:uid="{86842B2E-B898-490D-83F8-377DFADDC5AD}"/>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7B900657-F3D5-41C0-A13E-77D08E938528}"/>
    <cellStyle name="Normal 12 4 3 2 3" xfId="11865" xr:uid="{CD77F7D2-9F1D-42A6-BCA3-3E686CE38E08}"/>
    <cellStyle name="Normal 12 4 3 3" xfId="5499" xr:uid="{00000000-0005-0000-0000-00004D0E0000}"/>
    <cellStyle name="Normal 12 4 3 3 2" xfId="13938" xr:uid="{6C4559D7-BF31-4F19-875F-8FD6EDE9A396}"/>
    <cellStyle name="Normal 12 4 3 4" xfId="9720" xr:uid="{82E583B0-1F9F-451B-9A79-36847F465DFE}"/>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38448724-22B2-4FD6-AF66-BBF30BB864B8}"/>
    <cellStyle name="Normal 12 4 4 2 3" xfId="12278" xr:uid="{31F560EE-ADE3-4D71-B045-4FB949B069CB}"/>
    <cellStyle name="Normal 12 4 4 3" xfId="5912" xr:uid="{00000000-0005-0000-0000-0000510E0000}"/>
    <cellStyle name="Normal 12 4 4 3 2" xfId="14351" xr:uid="{49E11164-6198-456A-B3A9-4A641128C78D}"/>
    <cellStyle name="Normal 12 4 4 4" xfId="10133" xr:uid="{42AACF91-D975-4B47-B144-571E1D4D3A12}"/>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4A1645AD-45BE-4C5A-BD30-26BB0ACE095A}"/>
    <cellStyle name="Normal 12 4 5 2 3" xfId="12691" xr:uid="{7384DF77-B62F-468B-B7BF-107080F36116}"/>
    <cellStyle name="Normal 12 4 5 3" xfId="6325" xr:uid="{00000000-0005-0000-0000-0000550E0000}"/>
    <cellStyle name="Normal 12 4 5 3 2" xfId="14764" xr:uid="{FF0E7C91-3440-464F-8402-7BD00FF16FC9}"/>
    <cellStyle name="Normal 12 4 5 4" xfId="10546" xr:uid="{9B82A38C-65F6-4762-AA30-CA727E6883D1}"/>
    <cellStyle name="Normal 12 4 6" xfId="2454" xr:uid="{00000000-0005-0000-0000-0000560E0000}"/>
    <cellStyle name="Normal 12 4 6 2" xfId="6738" xr:uid="{00000000-0005-0000-0000-0000570E0000}"/>
    <cellStyle name="Normal 12 4 6 2 2" xfId="15177" xr:uid="{F139B661-6CF7-4F7E-A509-0BB9CBA1F9E0}"/>
    <cellStyle name="Normal 12 4 6 3" xfId="10959" xr:uid="{AE83693F-1075-4FA8-98C4-810B9FFD8879}"/>
    <cellStyle name="Normal 12 4 7" xfId="4672" xr:uid="{00000000-0005-0000-0000-0000580E0000}"/>
    <cellStyle name="Normal 12 4 7 2" xfId="13111" xr:uid="{CBAD9F40-6829-42C9-9406-A19D63389B2B}"/>
    <cellStyle name="Normal 12 4 8" xfId="8893" xr:uid="{E97CE6E0-AD60-4063-ABFE-79E81BCA26F1}"/>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E41A36BF-B835-411D-B80E-B092DE47A6BA}"/>
    <cellStyle name="Normal 12 6 2 3" xfId="11445" xr:uid="{BC1352E7-1D8F-4A7E-9569-51C0F8B52805}"/>
    <cellStyle name="Normal 12 6 3" xfId="5079" xr:uid="{00000000-0005-0000-0000-00005D0E0000}"/>
    <cellStyle name="Normal 12 6 3 2" xfId="13518" xr:uid="{7A688CD8-11BE-4732-876E-45E7085FF378}"/>
    <cellStyle name="Normal 12 6 4" xfId="9300" xr:uid="{3C9BA575-999D-402E-A4BC-F865C36DB486}"/>
    <cellStyle name="Normal 12 7" xfId="1183" xr:uid="{00000000-0005-0000-0000-00005E0E0000}"/>
    <cellStyle name="Normal 12 7 2" xfId="3414" xr:uid="{00000000-0005-0000-0000-00005F0E0000}"/>
    <cellStyle name="Normal 12 7 2 2" xfId="7637" xr:uid="{00000000-0005-0000-0000-0000600E0000}"/>
    <cellStyle name="Normal 12 7 2 2 2" xfId="16076" xr:uid="{15F6EDD8-F5C1-44D1-B1DD-6FF26279AC99}"/>
    <cellStyle name="Normal 12 7 2 3" xfId="11858" xr:uid="{3A0889E1-E825-472F-9CA1-A4F1C43C62D8}"/>
    <cellStyle name="Normal 12 7 3" xfId="5492" xr:uid="{00000000-0005-0000-0000-0000610E0000}"/>
    <cellStyle name="Normal 12 7 3 2" xfId="13931" xr:uid="{2A965C52-5C5F-4055-AA90-30D564BB7B5D}"/>
    <cellStyle name="Normal 12 7 4" xfId="9713" xr:uid="{F19B574B-C739-491F-B098-38D5B49649AF}"/>
    <cellStyle name="Normal 12 8" xfId="1597" xr:uid="{00000000-0005-0000-0000-0000620E0000}"/>
    <cellStyle name="Normal 12 8 2" xfId="3827" xr:uid="{00000000-0005-0000-0000-0000630E0000}"/>
    <cellStyle name="Normal 12 8 2 2" xfId="8050" xr:uid="{00000000-0005-0000-0000-0000640E0000}"/>
    <cellStyle name="Normal 12 8 2 2 2" xfId="16489" xr:uid="{2E4B322C-E5F7-4B6D-A39A-A42B64D84CBF}"/>
    <cellStyle name="Normal 12 8 2 3" xfId="12271" xr:uid="{C7F85F98-59F8-4341-B24C-380D9B47AAC8}"/>
    <cellStyle name="Normal 12 8 3" xfId="5905" xr:uid="{00000000-0005-0000-0000-0000650E0000}"/>
    <cellStyle name="Normal 12 8 3 2" xfId="14344" xr:uid="{205004C9-24EB-4BE9-8730-8D11E888C097}"/>
    <cellStyle name="Normal 12 8 4" xfId="10126" xr:uid="{F1EA6560-8B73-46E2-B45F-D2DB37FB7CA5}"/>
    <cellStyle name="Normal 12 9" xfId="2011" xr:uid="{00000000-0005-0000-0000-0000660E0000}"/>
    <cellStyle name="Normal 12 9 2" xfId="4240" xr:uid="{00000000-0005-0000-0000-0000670E0000}"/>
    <cellStyle name="Normal 12 9 2 2" xfId="8463" xr:uid="{00000000-0005-0000-0000-0000680E0000}"/>
    <cellStyle name="Normal 12 9 2 2 2" xfId="16902" xr:uid="{0AD70865-F784-422E-A72E-59CAE92721DA}"/>
    <cellStyle name="Normal 12 9 2 3" xfId="12684" xr:uid="{2C425EB1-FCDA-4BC6-8DBF-12CE65D63C97}"/>
    <cellStyle name="Normal 12 9 3" xfId="6318" xr:uid="{00000000-0005-0000-0000-0000690E0000}"/>
    <cellStyle name="Normal 12 9 3 2" xfId="14757" xr:uid="{A0A5BD44-3608-46C2-BC2F-77DE998A1590}"/>
    <cellStyle name="Normal 12 9 4" xfId="10539" xr:uid="{4F4166B7-1654-4B66-8657-9E813C310DF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C1BE3CE4-7B96-4F68-9482-DE687EFB46A7}"/>
    <cellStyle name="Normal 14 2 2 3" xfId="11453" xr:uid="{2D92E32F-844D-49CA-BBF7-3FF1CB4BECAC}"/>
    <cellStyle name="Normal 14 2 3" xfId="5087" xr:uid="{00000000-0005-0000-0000-0000700E0000}"/>
    <cellStyle name="Normal 14 2 3 2" xfId="13526" xr:uid="{659BB2A1-313C-48E3-AB20-B5F4E3680D1E}"/>
    <cellStyle name="Normal 14 2 4" xfId="9308" xr:uid="{3E402CD5-F225-46DA-88FA-C8C30DF6E424}"/>
    <cellStyle name="Normal 14 3" xfId="1191" xr:uid="{00000000-0005-0000-0000-0000710E0000}"/>
    <cellStyle name="Normal 14 3 2" xfId="3422" xr:uid="{00000000-0005-0000-0000-0000720E0000}"/>
    <cellStyle name="Normal 14 3 2 2" xfId="7645" xr:uid="{00000000-0005-0000-0000-0000730E0000}"/>
    <cellStyle name="Normal 14 3 2 2 2" xfId="16084" xr:uid="{E3626F3F-4475-4736-A67E-21DD36A69C80}"/>
    <cellStyle name="Normal 14 3 2 3" xfId="11866" xr:uid="{33037DA0-31E4-49AE-8374-E0DFD42C6C6E}"/>
    <cellStyle name="Normal 14 3 3" xfId="5500" xr:uid="{00000000-0005-0000-0000-0000740E0000}"/>
    <cellStyle name="Normal 14 3 3 2" xfId="13939" xr:uid="{31750724-1A83-46C0-BB13-8DB391BB86D0}"/>
    <cellStyle name="Normal 14 3 4" xfId="9721" xr:uid="{7E8983BC-8A53-4928-A7DF-6D1CEA00AB12}"/>
    <cellStyle name="Normal 14 4" xfId="1605" xr:uid="{00000000-0005-0000-0000-0000750E0000}"/>
    <cellStyle name="Normal 14 4 2" xfId="3835" xr:uid="{00000000-0005-0000-0000-0000760E0000}"/>
    <cellStyle name="Normal 14 4 2 2" xfId="8058" xr:uid="{00000000-0005-0000-0000-0000770E0000}"/>
    <cellStyle name="Normal 14 4 2 2 2" xfId="16497" xr:uid="{136938B9-F5AF-459F-A5BC-39AAA7286FE7}"/>
    <cellStyle name="Normal 14 4 2 3" xfId="12279" xr:uid="{E09B408D-2C85-4814-831E-8831531048FB}"/>
    <cellStyle name="Normal 14 4 3" xfId="5913" xr:uid="{00000000-0005-0000-0000-0000780E0000}"/>
    <cellStyle name="Normal 14 4 3 2" xfId="14352" xr:uid="{C3A013E2-8F96-405C-A477-AD86EE028E77}"/>
    <cellStyle name="Normal 14 4 4" xfId="10134" xr:uid="{716E4AA6-FF01-4FB7-83BE-C3C58DB45E3E}"/>
    <cellStyle name="Normal 14 5" xfId="2019" xr:uid="{00000000-0005-0000-0000-0000790E0000}"/>
    <cellStyle name="Normal 14 5 2" xfId="4248" xr:uid="{00000000-0005-0000-0000-00007A0E0000}"/>
    <cellStyle name="Normal 14 5 2 2" xfId="8471" xr:uid="{00000000-0005-0000-0000-00007B0E0000}"/>
    <cellStyle name="Normal 14 5 2 2 2" xfId="16910" xr:uid="{586EB7A6-E7EF-410F-95BA-F8A3AA5779F9}"/>
    <cellStyle name="Normal 14 5 2 3" xfId="12692" xr:uid="{0A54FF74-379D-4B5C-B516-45DAA26099E0}"/>
    <cellStyle name="Normal 14 5 3" xfId="6326" xr:uid="{00000000-0005-0000-0000-00007C0E0000}"/>
    <cellStyle name="Normal 14 5 3 2" xfId="14765" xr:uid="{E5AAAF2B-4B27-442B-A06C-E7D3686C6620}"/>
    <cellStyle name="Normal 14 5 4" xfId="10547" xr:uid="{46753410-EFCB-412D-A6F9-345478EEF133}"/>
    <cellStyle name="Normal 14 6" xfId="2455" xr:uid="{00000000-0005-0000-0000-00007D0E0000}"/>
    <cellStyle name="Normal 14 6 2" xfId="6739" xr:uid="{00000000-0005-0000-0000-00007E0E0000}"/>
    <cellStyle name="Normal 14 6 2 2" xfId="15178" xr:uid="{6DB05CEC-8497-4D57-A5A1-969F91183AB4}"/>
    <cellStyle name="Normal 14 6 3" xfId="10960" xr:uid="{D492EE03-F628-4006-9C6B-7C9508C901FF}"/>
    <cellStyle name="Normal 14 7" xfId="4673" xr:uid="{00000000-0005-0000-0000-00007F0E0000}"/>
    <cellStyle name="Normal 14 7 2" xfId="13112" xr:uid="{6102A913-C487-4869-8C5F-B0ADC5C63BC8}"/>
    <cellStyle name="Normal 14 8" xfId="8894" xr:uid="{98E949D9-734C-412A-A6C9-77205802FA7A}"/>
    <cellStyle name="Normal 15" xfId="4496" xr:uid="{00000000-0005-0000-0000-0000800E0000}"/>
    <cellStyle name="Normal 15 2" xfId="12938" xr:uid="{FE41B08D-3041-43B0-8DFA-EF685936805E}"/>
    <cellStyle name="Normal 16" xfId="4500" xr:uid="{00000000-0005-0000-0000-0000810E0000}"/>
    <cellStyle name="Normal 16 2" xfId="8716" xr:uid="{00000000-0005-0000-0000-0000820E0000}"/>
    <cellStyle name="Normal 16 2 2" xfId="17155" xr:uid="{7762D0ED-9689-4CA3-993E-13F6457C0DF3}"/>
    <cellStyle name="Normal 16 3" xfId="8719" xr:uid="{3DE1BEEB-61FA-4094-B10F-9E0444F68763}"/>
    <cellStyle name="Normal 16 3 2" xfId="8723" xr:uid="{FE0BC069-4698-40B2-814D-8E09719245E9}"/>
    <cellStyle name="Normal 16 3 2 2" xfId="17161" xr:uid="{C64A52FB-1D47-4A7B-9491-C08A3F1BBB96}"/>
    <cellStyle name="Normal 16 3 3" xfId="17158" xr:uid="{08293686-FFF8-44EF-9FA5-94B39815C08D}"/>
    <cellStyle name="Normal 16 4" xfId="12941" xr:uid="{0AA7EE27-BC83-453D-83AD-24C2AFC4A912}"/>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3BD36033-6BE1-4849-83F4-BB9814AC3DB0}"/>
    <cellStyle name="Normal 2 4 2 10 2 3" xfId="12693" xr:uid="{4B526337-B86C-47E3-94D2-81831AEB9A0C}"/>
    <cellStyle name="Normal 2 4 2 10 3" xfId="6327" xr:uid="{00000000-0005-0000-0000-0000910E0000}"/>
    <cellStyle name="Normal 2 4 2 10 3 2" xfId="14766" xr:uid="{2E77EC1B-1F32-488F-84A6-E6F5748FF3DA}"/>
    <cellStyle name="Normal 2 4 2 10 4" xfId="10548" xr:uid="{CC087A54-7313-496F-9C5A-A8BC463E8B88}"/>
    <cellStyle name="Normal 2 4 2 11" xfId="2456" xr:uid="{00000000-0005-0000-0000-0000920E0000}"/>
    <cellStyle name="Normal 2 4 2 11 2" xfId="6740" xr:uid="{00000000-0005-0000-0000-0000930E0000}"/>
    <cellStyle name="Normal 2 4 2 11 2 2" xfId="15179" xr:uid="{866F6B0F-0DE5-44DB-BADF-14C9789F0078}"/>
    <cellStyle name="Normal 2 4 2 11 3" xfId="10961" xr:uid="{9201D751-DED0-4029-A5BD-F3EF1F61B59E}"/>
    <cellStyle name="Normal 2 4 2 12" xfId="4674" xr:uid="{00000000-0005-0000-0000-0000940E0000}"/>
    <cellStyle name="Normal 2 4 2 12 2" xfId="13113" xr:uid="{93021267-581B-4F8A-B724-0F92B28C9B8A}"/>
    <cellStyle name="Normal 2 4 2 13" xfId="8895" xr:uid="{360C94C9-260B-4C42-9669-EEA9F8BB44D4}"/>
    <cellStyle name="Normal 2 4 2 2" xfId="280" xr:uid="{00000000-0005-0000-0000-0000950E0000}"/>
    <cellStyle name="Normal 2 4 2 3" xfId="281" xr:uid="{00000000-0005-0000-0000-0000960E0000}"/>
    <cellStyle name="Normal 2 4 2 3 10" xfId="4675" xr:uid="{00000000-0005-0000-0000-0000970E0000}"/>
    <cellStyle name="Normal 2 4 2 3 10 2" xfId="13114" xr:uid="{0BB98B1C-5301-40A2-A7EE-077FC8DE676B}"/>
    <cellStyle name="Normal 2 4 2 3 11" xfId="8896" xr:uid="{C6C10C48-7629-48E2-BF82-89D999E8B254}"/>
    <cellStyle name="Normal 2 4 2 3 2" xfId="282" xr:uid="{00000000-0005-0000-0000-0000980E0000}"/>
    <cellStyle name="Normal 2 4 2 3 2 10" xfId="8897" xr:uid="{9AB61582-E7D3-4334-B8AB-71515C9156F9}"/>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724D0ED6-E471-47F5-A2CE-B8139E09FF44}"/>
    <cellStyle name="Normal 2 4 2 3 2 2 2 2 2 3" xfId="11458" xr:uid="{FE60B3FC-4A2E-48A9-9EDA-9C429B455518}"/>
    <cellStyle name="Normal 2 4 2 3 2 2 2 2 3" xfId="5092" xr:uid="{00000000-0005-0000-0000-00009E0E0000}"/>
    <cellStyle name="Normal 2 4 2 3 2 2 2 2 3 2" xfId="13531" xr:uid="{9FE8C047-0D77-47E4-B289-983FA44019C7}"/>
    <cellStyle name="Normal 2 4 2 3 2 2 2 2 4" xfId="9313" xr:uid="{2F2D6BED-3528-4365-BA1C-A182835E5186}"/>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1B9D8E55-1B0B-46E5-B049-9774C5DBB926}"/>
    <cellStyle name="Normal 2 4 2 3 2 2 2 3 2 3" xfId="11871" xr:uid="{48C310AE-831E-4003-A75C-DB9285A97E4D}"/>
    <cellStyle name="Normal 2 4 2 3 2 2 2 3 3" xfId="5505" xr:uid="{00000000-0005-0000-0000-0000A20E0000}"/>
    <cellStyle name="Normal 2 4 2 3 2 2 2 3 3 2" xfId="13944" xr:uid="{343EE924-C04C-4728-8D53-B96115EE8FF6}"/>
    <cellStyle name="Normal 2 4 2 3 2 2 2 3 4" xfId="9726" xr:uid="{BB3352DC-1E21-4E00-A9B7-0836CCB8D0B3}"/>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E8BC700A-1909-4249-9FE4-9BE07CAFDEFB}"/>
    <cellStyle name="Normal 2 4 2 3 2 2 2 4 2 3" xfId="12284" xr:uid="{262901E9-1F90-4096-A531-898C08CB999B}"/>
    <cellStyle name="Normal 2 4 2 3 2 2 2 4 3" xfId="5918" xr:uid="{00000000-0005-0000-0000-0000A60E0000}"/>
    <cellStyle name="Normal 2 4 2 3 2 2 2 4 3 2" xfId="14357" xr:uid="{8807ABF9-CAC9-47DD-B34F-5C6821871F23}"/>
    <cellStyle name="Normal 2 4 2 3 2 2 2 4 4" xfId="10139" xr:uid="{C797C334-1AA3-4E91-974D-32A998F7A811}"/>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11A5EFCA-B662-4A6C-B023-E794AEE3314A}"/>
    <cellStyle name="Normal 2 4 2 3 2 2 2 5 2 3" xfId="12697" xr:uid="{A4EFD77F-63B4-4A50-ABF0-75D69FAA6478}"/>
    <cellStyle name="Normal 2 4 2 3 2 2 2 5 3" xfId="6331" xr:uid="{00000000-0005-0000-0000-0000AA0E0000}"/>
    <cellStyle name="Normal 2 4 2 3 2 2 2 5 3 2" xfId="14770" xr:uid="{3DFA9ECC-C706-4259-8A32-BCF67BE3B8CA}"/>
    <cellStyle name="Normal 2 4 2 3 2 2 2 5 4" xfId="10552" xr:uid="{91932EA7-1068-4882-BB7A-3B0A38E3562C}"/>
    <cellStyle name="Normal 2 4 2 3 2 2 2 6" xfId="2460" xr:uid="{00000000-0005-0000-0000-0000AB0E0000}"/>
    <cellStyle name="Normal 2 4 2 3 2 2 2 6 2" xfId="6744" xr:uid="{00000000-0005-0000-0000-0000AC0E0000}"/>
    <cellStyle name="Normal 2 4 2 3 2 2 2 6 2 2" xfId="15183" xr:uid="{BEC47442-FA8A-47B2-ACC9-CF6934D87FFA}"/>
    <cellStyle name="Normal 2 4 2 3 2 2 2 6 3" xfId="10965" xr:uid="{62DD508D-EC17-4AF0-A28E-0615887C6C64}"/>
    <cellStyle name="Normal 2 4 2 3 2 2 2 7" xfId="4678" xr:uid="{00000000-0005-0000-0000-0000AD0E0000}"/>
    <cellStyle name="Normal 2 4 2 3 2 2 2 7 2" xfId="13117" xr:uid="{1C067F11-A905-44F3-8588-675B07253A9C}"/>
    <cellStyle name="Normal 2 4 2 3 2 2 2 8" xfId="8899" xr:uid="{311755A2-1438-4656-AACE-2E3DBEBD500D}"/>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30F6841A-7EB2-4339-99CB-1B12B3419128}"/>
    <cellStyle name="Normal 2 4 2 3 2 2 3 2 3" xfId="11457" xr:uid="{244CB81A-113F-4279-9209-2ABEF9A4A6A2}"/>
    <cellStyle name="Normal 2 4 2 3 2 2 3 3" xfId="5091" xr:uid="{00000000-0005-0000-0000-0000B10E0000}"/>
    <cellStyle name="Normal 2 4 2 3 2 2 3 3 2" xfId="13530" xr:uid="{3E3CC4FF-CB3B-41C5-B5EE-A60C7FEE8F79}"/>
    <cellStyle name="Normal 2 4 2 3 2 2 3 4" xfId="9312" xr:uid="{8AC27FC5-2AD8-4F4C-9560-5EFCDFEF27A9}"/>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F0EEABAA-C1CB-4868-B572-1480CDBA2760}"/>
    <cellStyle name="Normal 2 4 2 3 2 2 4 2 3" xfId="11870" xr:uid="{534417BF-6664-42F6-BAA6-63CA6632E4C4}"/>
    <cellStyle name="Normal 2 4 2 3 2 2 4 3" xfId="5504" xr:uid="{00000000-0005-0000-0000-0000B50E0000}"/>
    <cellStyle name="Normal 2 4 2 3 2 2 4 3 2" xfId="13943" xr:uid="{9F145559-1E2B-414D-925A-A9A0BC4996C1}"/>
    <cellStyle name="Normal 2 4 2 3 2 2 4 4" xfId="9725" xr:uid="{49DDD64E-FD7B-4084-8031-9DF3AD5C92AB}"/>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FD13E7C6-54D4-4D6B-BFCA-23CB508B42F0}"/>
    <cellStyle name="Normal 2 4 2 3 2 2 5 2 3" xfId="12283" xr:uid="{E2FD4A01-2BC3-49F7-A76C-A206C17FD17A}"/>
    <cellStyle name="Normal 2 4 2 3 2 2 5 3" xfId="5917" xr:uid="{00000000-0005-0000-0000-0000B90E0000}"/>
    <cellStyle name="Normal 2 4 2 3 2 2 5 3 2" xfId="14356" xr:uid="{7B2AF30F-7201-49A6-9904-253E3A918141}"/>
    <cellStyle name="Normal 2 4 2 3 2 2 5 4" xfId="10138" xr:uid="{0CA45DF2-C2FB-4562-8DA1-F969E6C8257C}"/>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4A6D6003-6440-487B-88F6-86E009358E6A}"/>
    <cellStyle name="Normal 2 4 2 3 2 2 6 2 3" xfId="12696" xr:uid="{0CF1156F-D80A-4C09-9705-579D0D45FEE0}"/>
    <cellStyle name="Normal 2 4 2 3 2 2 6 3" xfId="6330" xr:uid="{00000000-0005-0000-0000-0000BD0E0000}"/>
    <cellStyle name="Normal 2 4 2 3 2 2 6 3 2" xfId="14769" xr:uid="{E18F675C-63B9-416A-8F33-47F6142C8253}"/>
    <cellStyle name="Normal 2 4 2 3 2 2 6 4" xfId="10551" xr:uid="{D4F77324-E6B7-40B3-A8B5-FA6DBBE66D5A}"/>
    <cellStyle name="Normal 2 4 2 3 2 2 7" xfId="2459" xr:uid="{00000000-0005-0000-0000-0000BE0E0000}"/>
    <cellStyle name="Normal 2 4 2 3 2 2 7 2" xfId="6743" xr:uid="{00000000-0005-0000-0000-0000BF0E0000}"/>
    <cellStyle name="Normal 2 4 2 3 2 2 7 2 2" xfId="15182" xr:uid="{29EF0ACF-E54E-46C8-9739-6BCD4E5AE28B}"/>
    <cellStyle name="Normal 2 4 2 3 2 2 7 3" xfId="10964" xr:uid="{318AC937-B94B-465B-B32F-1686112B4DD0}"/>
    <cellStyle name="Normal 2 4 2 3 2 2 8" xfId="4677" xr:uid="{00000000-0005-0000-0000-0000C00E0000}"/>
    <cellStyle name="Normal 2 4 2 3 2 2 8 2" xfId="13116" xr:uid="{CEC5724E-8105-4BE0-9523-8810762C0E92}"/>
    <cellStyle name="Normal 2 4 2 3 2 2 9" xfId="8898" xr:uid="{5FE5DE1B-7C3A-4C49-BD0F-7492DCA6D3C4}"/>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5A3619A3-9395-4C1C-8AE6-B02B1EEA9A81}"/>
    <cellStyle name="Normal 2 4 2 3 2 3 2 2 3" xfId="11459" xr:uid="{305471E5-02DF-4073-82D0-C754DF89A692}"/>
    <cellStyle name="Normal 2 4 2 3 2 3 2 3" xfId="5093" xr:uid="{00000000-0005-0000-0000-0000C50E0000}"/>
    <cellStyle name="Normal 2 4 2 3 2 3 2 3 2" xfId="13532" xr:uid="{E61373D7-0409-4386-9248-A3044726FAFF}"/>
    <cellStyle name="Normal 2 4 2 3 2 3 2 4" xfId="9314" xr:uid="{1611B194-57D1-430D-B774-86E8180D22D6}"/>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4B761FAF-32F6-49EB-959B-C5B7E27FCFF1}"/>
    <cellStyle name="Normal 2 4 2 3 2 3 3 2 3" xfId="11872" xr:uid="{7A64942F-5287-40A6-B2EA-C69D9D7D3DD5}"/>
    <cellStyle name="Normal 2 4 2 3 2 3 3 3" xfId="5506" xr:uid="{00000000-0005-0000-0000-0000C90E0000}"/>
    <cellStyle name="Normal 2 4 2 3 2 3 3 3 2" xfId="13945" xr:uid="{66A2DB45-77A0-4ED1-A54F-B29B39D35DF6}"/>
    <cellStyle name="Normal 2 4 2 3 2 3 3 4" xfId="9727" xr:uid="{6357D40C-3F80-4443-BE17-2BB3397BA324}"/>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4FF9E58D-4E47-4BE1-9835-C734889479A5}"/>
    <cellStyle name="Normal 2 4 2 3 2 3 4 2 3" xfId="12285" xr:uid="{F52AE9A9-3CA9-40DC-A4B3-3658181E07EF}"/>
    <cellStyle name="Normal 2 4 2 3 2 3 4 3" xfId="5919" xr:uid="{00000000-0005-0000-0000-0000CD0E0000}"/>
    <cellStyle name="Normal 2 4 2 3 2 3 4 3 2" xfId="14358" xr:uid="{3ADA9CDE-01D0-421F-AA64-8682A52094A6}"/>
    <cellStyle name="Normal 2 4 2 3 2 3 4 4" xfId="10140" xr:uid="{BC7223F9-36F4-4A71-90EA-0F63FF0ED425}"/>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9BD0ECF1-D519-45DD-83B8-0E4BDF2ED266}"/>
    <cellStyle name="Normal 2 4 2 3 2 3 5 2 3" xfId="12698" xr:uid="{E536CD6F-1537-4422-9FEA-048A1405DA36}"/>
    <cellStyle name="Normal 2 4 2 3 2 3 5 3" xfId="6332" xr:uid="{00000000-0005-0000-0000-0000D10E0000}"/>
    <cellStyle name="Normal 2 4 2 3 2 3 5 3 2" xfId="14771" xr:uid="{11CF4FDD-2417-4CCF-9F49-B87A89A27689}"/>
    <cellStyle name="Normal 2 4 2 3 2 3 5 4" xfId="10553" xr:uid="{B0D13B75-EEF3-4D4C-B1EB-81512ECA23B8}"/>
    <cellStyle name="Normal 2 4 2 3 2 3 6" xfId="2461" xr:uid="{00000000-0005-0000-0000-0000D20E0000}"/>
    <cellStyle name="Normal 2 4 2 3 2 3 6 2" xfId="6745" xr:uid="{00000000-0005-0000-0000-0000D30E0000}"/>
    <cellStyle name="Normal 2 4 2 3 2 3 6 2 2" xfId="15184" xr:uid="{50DBD2FC-94FE-4FDE-A4E1-558E2B425C6D}"/>
    <cellStyle name="Normal 2 4 2 3 2 3 6 3" xfId="10966" xr:uid="{67F8352A-8FAF-4B4B-AC5A-501FF3FBD393}"/>
    <cellStyle name="Normal 2 4 2 3 2 3 7" xfId="4679" xr:uid="{00000000-0005-0000-0000-0000D40E0000}"/>
    <cellStyle name="Normal 2 4 2 3 2 3 7 2" xfId="13118" xr:uid="{D8849DE4-BEF8-4E36-BF86-3AFFFAF12443}"/>
    <cellStyle name="Normal 2 4 2 3 2 3 8" xfId="8900" xr:uid="{D6891FBC-D6AC-4038-B9C7-BB3C6CE8CE6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2FA97DB1-FACB-47DF-81F4-414D79D0BF48}"/>
    <cellStyle name="Normal 2 4 2 3 2 4 2 3" xfId="11456" xr:uid="{F52177C7-5845-49A0-8FE9-11C776EDBF54}"/>
    <cellStyle name="Normal 2 4 2 3 2 4 3" xfId="5090" xr:uid="{00000000-0005-0000-0000-0000D80E0000}"/>
    <cellStyle name="Normal 2 4 2 3 2 4 3 2" xfId="13529" xr:uid="{73E50D54-E747-4ABA-9333-E79724DB6442}"/>
    <cellStyle name="Normal 2 4 2 3 2 4 4" xfId="9311" xr:uid="{3D84BFF9-0363-4230-AA88-314C08E0971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3D884A9D-FAC8-4508-BBD9-F70284C23BAA}"/>
    <cellStyle name="Normal 2 4 2 3 2 5 2 3" xfId="11869" xr:uid="{70AC0EAE-0DAF-4274-9EB0-4562E230CC2E}"/>
    <cellStyle name="Normal 2 4 2 3 2 5 3" xfId="5503" xr:uid="{00000000-0005-0000-0000-0000DC0E0000}"/>
    <cellStyle name="Normal 2 4 2 3 2 5 3 2" xfId="13942" xr:uid="{56FF98EE-B7A1-4FD6-BBEB-89FDF29B8796}"/>
    <cellStyle name="Normal 2 4 2 3 2 5 4" xfId="9724" xr:uid="{9E62BF4C-1B51-42FB-AEC9-D5A30DA4C1D4}"/>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A21DFB8B-C95A-4795-9AF9-51794576EC33}"/>
    <cellStyle name="Normal 2 4 2 3 2 6 2 3" xfId="12282" xr:uid="{46ABF871-DEC8-4F0C-BB19-D9E9E4B2FE7D}"/>
    <cellStyle name="Normal 2 4 2 3 2 6 3" xfId="5916" xr:uid="{00000000-0005-0000-0000-0000E00E0000}"/>
    <cellStyle name="Normal 2 4 2 3 2 6 3 2" xfId="14355" xr:uid="{143B8262-945B-44C0-B3CC-9B2576E1C66E}"/>
    <cellStyle name="Normal 2 4 2 3 2 6 4" xfId="10137" xr:uid="{A19064F6-47BE-407F-9702-A99E94940426}"/>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0D72CAA0-AE28-4764-8795-2DA44881F426}"/>
    <cellStyle name="Normal 2 4 2 3 2 7 2 3" xfId="12695" xr:uid="{83D5B715-94F4-4311-B81B-A64B12F4896E}"/>
    <cellStyle name="Normal 2 4 2 3 2 7 3" xfId="6329" xr:uid="{00000000-0005-0000-0000-0000E40E0000}"/>
    <cellStyle name="Normal 2 4 2 3 2 7 3 2" xfId="14768" xr:uid="{E3C1F190-5EBE-4545-8E43-7AD84A456BAF}"/>
    <cellStyle name="Normal 2 4 2 3 2 7 4" xfId="10550" xr:uid="{6A4A33A9-593F-4F1F-AF8E-3DD03B7DBE02}"/>
    <cellStyle name="Normal 2 4 2 3 2 8" xfId="2458" xr:uid="{00000000-0005-0000-0000-0000E50E0000}"/>
    <cellStyle name="Normal 2 4 2 3 2 8 2" xfId="6742" xr:uid="{00000000-0005-0000-0000-0000E60E0000}"/>
    <cellStyle name="Normal 2 4 2 3 2 8 2 2" xfId="15181" xr:uid="{C4283E0B-0F2C-4CA6-8318-59A114860579}"/>
    <cellStyle name="Normal 2 4 2 3 2 8 3" xfId="10963" xr:uid="{07C34CFD-EC60-4598-952C-78500044D499}"/>
    <cellStyle name="Normal 2 4 2 3 2 9" xfId="4676" xr:uid="{00000000-0005-0000-0000-0000E70E0000}"/>
    <cellStyle name="Normal 2 4 2 3 2 9 2" xfId="13115" xr:uid="{FBB87826-6218-4CF0-B4D5-BFFC97FF79F5}"/>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B369BBAE-A61E-460E-AFCD-30F511377627}"/>
    <cellStyle name="Normal 2 4 2 3 3 2 2 2 3" xfId="11461" xr:uid="{3E5784C2-245C-4271-A310-5D4EF05B0D7E}"/>
    <cellStyle name="Normal 2 4 2 3 3 2 2 3" xfId="5095" xr:uid="{00000000-0005-0000-0000-0000ED0E0000}"/>
    <cellStyle name="Normal 2 4 2 3 3 2 2 3 2" xfId="13534" xr:uid="{B92D7588-4ECB-4D44-A94F-0F80746DDDE6}"/>
    <cellStyle name="Normal 2 4 2 3 3 2 2 4" xfId="9316" xr:uid="{F58CA3E3-58F8-4FEA-B1B9-289EEB220389}"/>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5B3D05A3-79B7-4AF0-8188-706B482C46CD}"/>
    <cellStyle name="Normal 2 4 2 3 3 2 3 2 3" xfId="11874" xr:uid="{1F601C1C-5E2A-411D-BEBF-C768FE9807B2}"/>
    <cellStyle name="Normal 2 4 2 3 3 2 3 3" xfId="5508" xr:uid="{00000000-0005-0000-0000-0000F10E0000}"/>
    <cellStyle name="Normal 2 4 2 3 3 2 3 3 2" xfId="13947" xr:uid="{4D9C1582-5CD6-4A86-804A-55E4EB18220B}"/>
    <cellStyle name="Normal 2 4 2 3 3 2 3 4" xfId="9729" xr:uid="{B318002C-8EA5-48FC-99BE-AE771C776BCE}"/>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2D5AB780-9B0D-47E1-A110-2E9D78C7EB2A}"/>
    <cellStyle name="Normal 2 4 2 3 3 2 4 2 3" xfId="12287" xr:uid="{3C1CE186-8FDF-4273-93B6-24348EDAF5A5}"/>
    <cellStyle name="Normal 2 4 2 3 3 2 4 3" xfId="5921" xr:uid="{00000000-0005-0000-0000-0000F50E0000}"/>
    <cellStyle name="Normal 2 4 2 3 3 2 4 3 2" xfId="14360" xr:uid="{E53D7181-9F3F-454D-9B28-452325AD7993}"/>
    <cellStyle name="Normal 2 4 2 3 3 2 4 4" xfId="10142" xr:uid="{51A179EB-2BAF-47F9-9803-B67D7AC06A0F}"/>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85A6803B-6EB3-4E34-9466-CF4D5FEBBB37}"/>
    <cellStyle name="Normal 2 4 2 3 3 2 5 2 3" xfId="12700" xr:uid="{8F96691A-3793-4E85-AA4E-035655F24196}"/>
    <cellStyle name="Normal 2 4 2 3 3 2 5 3" xfId="6334" xr:uid="{00000000-0005-0000-0000-0000F90E0000}"/>
    <cellStyle name="Normal 2 4 2 3 3 2 5 3 2" xfId="14773" xr:uid="{5C1BF017-0179-4F9C-B5B5-CD889EF92D35}"/>
    <cellStyle name="Normal 2 4 2 3 3 2 5 4" xfId="10555" xr:uid="{5324D94B-772E-4965-B753-0A0BBC9D8538}"/>
    <cellStyle name="Normal 2 4 2 3 3 2 6" xfId="2463" xr:uid="{00000000-0005-0000-0000-0000FA0E0000}"/>
    <cellStyle name="Normal 2 4 2 3 3 2 6 2" xfId="6747" xr:uid="{00000000-0005-0000-0000-0000FB0E0000}"/>
    <cellStyle name="Normal 2 4 2 3 3 2 6 2 2" xfId="15186" xr:uid="{E7AB0E07-69B9-4E52-B83F-68A1CB8B558D}"/>
    <cellStyle name="Normal 2 4 2 3 3 2 6 3" xfId="10968" xr:uid="{CCC585E2-934B-477A-8D94-1F193391E66A}"/>
    <cellStyle name="Normal 2 4 2 3 3 2 7" xfId="4681" xr:uid="{00000000-0005-0000-0000-0000FC0E0000}"/>
    <cellStyle name="Normal 2 4 2 3 3 2 7 2" xfId="13120" xr:uid="{84CE5D5A-B549-42D4-930C-FAE6BD9488A6}"/>
    <cellStyle name="Normal 2 4 2 3 3 2 8" xfId="8902" xr:uid="{61803945-2E53-4A5E-A9D6-3D73656CD7C2}"/>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ED46B5B5-39B0-4F14-BE48-0533D5530F4E}"/>
    <cellStyle name="Normal 2 4 2 3 3 3 2 3" xfId="11460" xr:uid="{B3C1E810-7262-4CB2-AEE4-83F3FF4B8FF6}"/>
    <cellStyle name="Normal 2 4 2 3 3 3 3" xfId="5094" xr:uid="{00000000-0005-0000-0000-0000000F0000}"/>
    <cellStyle name="Normal 2 4 2 3 3 3 3 2" xfId="13533" xr:uid="{D03FD9B1-6D67-43E3-A571-CA3E1D205217}"/>
    <cellStyle name="Normal 2 4 2 3 3 3 4" xfId="9315" xr:uid="{DB4C1A4F-649A-4902-845B-85571B4018FF}"/>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D6D1743F-70E8-464F-9067-DFB177888C66}"/>
    <cellStyle name="Normal 2 4 2 3 3 4 2 3" xfId="11873" xr:uid="{933F240F-D7EA-4546-A4CD-97E59BEB762B}"/>
    <cellStyle name="Normal 2 4 2 3 3 4 3" xfId="5507" xr:uid="{00000000-0005-0000-0000-0000040F0000}"/>
    <cellStyle name="Normal 2 4 2 3 3 4 3 2" xfId="13946" xr:uid="{A4E03240-5F08-4D83-8DF0-ED99CC971362}"/>
    <cellStyle name="Normal 2 4 2 3 3 4 4" xfId="9728" xr:uid="{9DB4D1CE-6B0A-424C-A476-B38E3078E482}"/>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1D8F69C5-5A69-4330-8BCC-4FC949AA5B59}"/>
    <cellStyle name="Normal 2 4 2 3 3 5 2 3" xfId="12286" xr:uid="{13FAEC89-967A-4E1B-9E46-8EDC1FDE12E5}"/>
    <cellStyle name="Normal 2 4 2 3 3 5 3" xfId="5920" xr:uid="{00000000-0005-0000-0000-0000080F0000}"/>
    <cellStyle name="Normal 2 4 2 3 3 5 3 2" xfId="14359" xr:uid="{432C9F9B-F1E9-4A6F-869E-3F3D908E3DE1}"/>
    <cellStyle name="Normal 2 4 2 3 3 5 4" xfId="10141" xr:uid="{C8535636-1249-4A76-BA97-A88C518EF5D5}"/>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FC4F438A-1696-46BC-8941-8F15B8E718BB}"/>
    <cellStyle name="Normal 2 4 2 3 3 6 2 3" xfId="12699" xr:uid="{901F39D7-CF6A-4F9D-9BCA-74DC4A8A0972}"/>
    <cellStyle name="Normal 2 4 2 3 3 6 3" xfId="6333" xr:uid="{00000000-0005-0000-0000-00000C0F0000}"/>
    <cellStyle name="Normal 2 4 2 3 3 6 3 2" xfId="14772" xr:uid="{F13C3232-4F5B-4A6B-8D5E-10CF0EC96E9B}"/>
    <cellStyle name="Normal 2 4 2 3 3 6 4" xfId="10554" xr:uid="{8C89BBAE-055A-4EB4-8BF9-C808E8B962E0}"/>
    <cellStyle name="Normal 2 4 2 3 3 7" xfId="2462" xr:uid="{00000000-0005-0000-0000-00000D0F0000}"/>
    <cellStyle name="Normal 2 4 2 3 3 7 2" xfId="6746" xr:uid="{00000000-0005-0000-0000-00000E0F0000}"/>
    <cellStyle name="Normal 2 4 2 3 3 7 2 2" xfId="15185" xr:uid="{0A410E93-98C1-4045-BEE9-921F4711BFA7}"/>
    <cellStyle name="Normal 2 4 2 3 3 7 3" xfId="10967" xr:uid="{D6C9F00D-97D6-40DE-B5EF-BC0E1226F929}"/>
    <cellStyle name="Normal 2 4 2 3 3 8" xfId="4680" xr:uid="{00000000-0005-0000-0000-00000F0F0000}"/>
    <cellStyle name="Normal 2 4 2 3 3 8 2" xfId="13119" xr:uid="{8DF84C74-C25B-4249-9EB3-185FC65143E7}"/>
    <cellStyle name="Normal 2 4 2 3 3 9" xfId="8901" xr:uid="{D5089991-3250-4470-A2B4-14FBF3867013}"/>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6E9B5EDC-2878-431C-B77B-A8A9FE7D4876}"/>
    <cellStyle name="Normal 2 4 2 3 4 2 2 3" xfId="11462" xr:uid="{76BF6F75-2B57-4E5A-9FAB-FFD8C749EFA7}"/>
    <cellStyle name="Normal 2 4 2 3 4 2 3" xfId="5096" xr:uid="{00000000-0005-0000-0000-0000140F0000}"/>
    <cellStyle name="Normal 2 4 2 3 4 2 3 2" xfId="13535" xr:uid="{506D5EB2-6F5C-44DE-81A5-EE56012B379C}"/>
    <cellStyle name="Normal 2 4 2 3 4 2 4" xfId="9317" xr:uid="{3530241A-4230-4195-9EAF-3479EE1A34AF}"/>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E4AEEF70-01FA-4F51-9403-653FEC40F876}"/>
    <cellStyle name="Normal 2 4 2 3 4 3 2 3" xfId="11875" xr:uid="{950D9214-3FBC-4FDD-B7C2-CE1B2BB4AEEC}"/>
    <cellStyle name="Normal 2 4 2 3 4 3 3" xfId="5509" xr:uid="{00000000-0005-0000-0000-0000180F0000}"/>
    <cellStyle name="Normal 2 4 2 3 4 3 3 2" xfId="13948" xr:uid="{3832A53B-C571-407B-B493-F8972CCD9595}"/>
    <cellStyle name="Normal 2 4 2 3 4 3 4" xfId="9730" xr:uid="{E8E11435-79BE-4C04-A6EB-94E9E48E3394}"/>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4104681C-D6F1-42F6-B2BF-4839DA0CE789}"/>
    <cellStyle name="Normal 2 4 2 3 4 4 2 3" xfId="12288" xr:uid="{04AFE643-2D66-410F-8F6F-B8B88A951798}"/>
    <cellStyle name="Normal 2 4 2 3 4 4 3" xfId="5922" xr:uid="{00000000-0005-0000-0000-00001C0F0000}"/>
    <cellStyle name="Normal 2 4 2 3 4 4 3 2" xfId="14361" xr:uid="{6AF5D2EB-FE50-4CB8-A817-E0B8A298DE16}"/>
    <cellStyle name="Normal 2 4 2 3 4 4 4" xfId="10143" xr:uid="{796224AA-ECE1-46FB-BDF5-4A393CD24A1A}"/>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5C45BA7E-7AA1-4723-A818-656B3F01FCDE}"/>
    <cellStyle name="Normal 2 4 2 3 4 5 2 3" xfId="12701" xr:uid="{2E045E21-81E3-4DA4-9485-C22A8F3717B8}"/>
    <cellStyle name="Normal 2 4 2 3 4 5 3" xfId="6335" xr:uid="{00000000-0005-0000-0000-0000200F0000}"/>
    <cellStyle name="Normal 2 4 2 3 4 5 3 2" xfId="14774" xr:uid="{A96F7689-F7A9-4BF8-8CA6-139B70053668}"/>
    <cellStyle name="Normal 2 4 2 3 4 5 4" xfId="10556" xr:uid="{1366F895-FF94-45FF-93D8-BDC9709EFE5A}"/>
    <cellStyle name="Normal 2 4 2 3 4 6" xfId="2464" xr:uid="{00000000-0005-0000-0000-0000210F0000}"/>
    <cellStyle name="Normal 2 4 2 3 4 6 2" xfId="6748" xr:uid="{00000000-0005-0000-0000-0000220F0000}"/>
    <cellStyle name="Normal 2 4 2 3 4 6 2 2" xfId="15187" xr:uid="{3D943024-5883-477A-91D7-898D05C7639E}"/>
    <cellStyle name="Normal 2 4 2 3 4 6 3" xfId="10969" xr:uid="{62C17D69-671D-4911-99AA-B58A03A36BCF}"/>
    <cellStyle name="Normal 2 4 2 3 4 7" xfId="4682" xr:uid="{00000000-0005-0000-0000-0000230F0000}"/>
    <cellStyle name="Normal 2 4 2 3 4 7 2" xfId="13121" xr:uid="{3CE2FACC-8218-42BB-83F2-828A5FC3F253}"/>
    <cellStyle name="Normal 2 4 2 3 4 8" xfId="8903" xr:uid="{AF14C042-7292-4B56-98A9-EBA7691A911C}"/>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E0D3A154-04CE-44D4-8775-E9845237339F}"/>
    <cellStyle name="Normal 2 4 2 3 5 2 3" xfId="11455" xr:uid="{AE09C1C5-6C97-4F0E-91FA-DA096C9BF6D3}"/>
    <cellStyle name="Normal 2 4 2 3 5 3" xfId="5089" xr:uid="{00000000-0005-0000-0000-0000270F0000}"/>
    <cellStyle name="Normal 2 4 2 3 5 3 2" xfId="13528" xr:uid="{A5159CB2-B04B-4895-A755-ECAC20DC9E65}"/>
    <cellStyle name="Normal 2 4 2 3 5 4" xfId="9310" xr:uid="{D678E6FD-7462-49FA-BD81-BA237627EF7D}"/>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632A331D-D04F-4616-B0E5-F8DDD7F3AD6F}"/>
    <cellStyle name="Normal 2 4 2 3 6 2 3" xfId="11868" xr:uid="{1DD48234-D78F-43BA-890B-B7571F7B807A}"/>
    <cellStyle name="Normal 2 4 2 3 6 3" xfId="5502" xr:uid="{00000000-0005-0000-0000-00002B0F0000}"/>
    <cellStyle name="Normal 2 4 2 3 6 3 2" xfId="13941" xr:uid="{95D70150-B589-481B-A11E-F699BBC74272}"/>
    <cellStyle name="Normal 2 4 2 3 6 4" xfId="9723" xr:uid="{28728751-578D-4CBB-B169-377F9A9C5093}"/>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2ECA6B33-CF58-4E6D-9A8A-153AA601A17C}"/>
    <cellStyle name="Normal 2 4 2 3 7 2 3" xfId="12281" xr:uid="{6292660F-C850-4255-BD65-AD11133A4216}"/>
    <cellStyle name="Normal 2 4 2 3 7 3" xfId="5915" xr:uid="{00000000-0005-0000-0000-00002F0F0000}"/>
    <cellStyle name="Normal 2 4 2 3 7 3 2" xfId="14354" xr:uid="{3F5B7FD5-9A25-457E-9AD2-E0F66A5795EC}"/>
    <cellStyle name="Normal 2 4 2 3 7 4" xfId="10136" xr:uid="{CB377499-7693-47FE-A36E-F40AE79D5FB0}"/>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C312ED50-CFE9-4357-A5EF-C4E3B0ECB8AC}"/>
    <cellStyle name="Normal 2 4 2 3 8 2 3" xfId="12694" xr:uid="{06B6E827-1138-4FAA-BFB1-FF8FF06601D0}"/>
    <cellStyle name="Normal 2 4 2 3 8 3" xfId="6328" xr:uid="{00000000-0005-0000-0000-0000330F0000}"/>
    <cellStyle name="Normal 2 4 2 3 8 3 2" xfId="14767" xr:uid="{24EAD51A-DF09-4B9C-803C-DE4575B2BA8E}"/>
    <cellStyle name="Normal 2 4 2 3 8 4" xfId="10549" xr:uid="{2CA0E98A-CBC6-409B-9AAB-0D9518D9EA36}"/>
    <cellStyle name="Normal 2 4 2 3 9" xfId="2457" xr:uid="{00000000-0005-0000-0000-0000340F0000}"/>
    <cellStyle name="Normal 2 4 2 3 9 2" xfId="6741" xr:uid="{00000000-0005-0000-0000-0000350F0000}"/>
    <cellStyle name="Normal 2 4 2 3 9 2 2" xfId="15180" xr:uid="{2EEA67EA-C143-48AD-8483-3DFCAFE13DF2}"/>
    <cellStyle name="Normal 2 4 2 3 9 3" xfId="10962" xr:uid="{C709B5F7-6499-47E6-9C54-6589FB2B57E3}"/>
    <cellStyle name="Normal 2 4 2 4" xfId="289" xr:uid="{00000000-0005-0000-0000-0000360F0000}"/>
    <cellStyle name="Normal 2 4 2 4 10" xfId="8904" xr:uid="{79D064BD-B704-45B1-AF35-2E7C0AA98A0E}"/>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A5AAE003-063D-47F5-B086-0C8A5D613C1F}"/>
    <cellStyle name="Normal 2 4 2 4 2 2 2 2 3" xfId="11465" xr:uid="{EE3B8782-42EB-48BE-9F49-0CEFD2F45222}"/>
    <cellStyle name="Normal 2 4 2 4 2 2 2 3" xfId="5099" xr:uid="{00000000-0005-0000-0000-00003C0F0000}"/>
    <cellStyle name="Normal 2 4 2 4 2 2 2 3 2" xfId="13538" xr:uid="{D4BA4B6B-614C-41CA-A4E7-65F50603DC3D}"/>
    <cellStyle name="Normal 2 4 2 4 2 2 2 4" xfId="9320" xr:uid="{CA1E0C08-9492-43DE-A2C4-1E9639134E46}"/>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DE94BBE2-3EDA-4E69-8280-F4969AB83604}"/>
    <cellStyle name="Normal 2 4 2 4 2 2 3 2 3" xfId="11878" xr:uid="{BDD3B4B6-186F-46BF-94BD-AE1A0E380F95}"/>
    <cellStyle name="Normal 2 4 2 4 2 2 3 3" xfId="5512" xr:uid="{00000000-0005-0000-0000-0000400F0000}"/>
    <cellStyle name="Normal 2 4 2 4 2 2 3 3 2" xfId="13951" xr:uid="{0C921C76-4E1D-4814-B59A-775DD4D750A2}"/>
    <cellStyle name="Normal 2 4 2 4 2 2 3 4" xfId="9733" xr:uid="{352E7A7C-7A42-48F8-9AEE-E8132EE26BE7}"/>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62C78101-7C4A-43A1-BC7A-1FCAF8BBEC15}"/>
    <cellStyle name="Normal 2 4 2 4 2 2 4 2 3" xfId="12291" xr:uid="{B260ED63-93D9-4794-982D-892CBFF224C7}"/>
    <cellStyle name="Normal 2 4 2 4 2 2 4 3" xfId="5925" xr:uid="{00000000-0005-0000-0000-0000440F0000}"/>
    <cellStyle name="Normal 2 4 2 4 2 2 4 3 2" xfId="14364" xr:uid="{F87F8798-5EBD-46F3-8FC5-63C791BBB4B5}"/>
    <cellStyle name="Normal 2 4 2 4 2 2 4 4" xfId="10146" xr:uid="{A5B40167-C033-45AB-9441-F82E29B8D526}"/>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35EF8569-9F4E-4BAB-860A-6BA6C23162D4}"/>
    <cellStyle name="Normal 2 4 2 4 2 2 5 2 3" xfId="12704" xr:uid="{D532A233-B279-4BB2-9695-7EB4CFD71297}"/>
    <cellStyle name="Normal 2 4 2 4 2 2 5 3" xfId="6338" xr:uid="{00000000-0005-0000-0000-0000480F0000}"/>
    <cellStyle name="Normal 2 4 2 4 2 2 5 3 2" xfId="14777" xr:uid="{F465AFDF-2F34-47D4-A928-D3803874F20D}"/>
    <cellStyle name="Normal 2 4 2 4 2 2 5 4" xfId="10559" xr:uid="{6A523595-6C18-41DE-9646-7972D7406745}"/>
    <cellStyle name="Normal 2 4 2 4 2 2 6" xfId="2467" xr:uid="{00000000-0005-0000-0000-0000490F0000}"/>
    <cellStyle name="Normal 2 4 2 4 2 2 6 2" xfId="6751" xr:uid="{00000000-0005-0000-0000-00004A0F0000}"/>
    <cellStyle name="Normal 2 4 2 4 2 2 6 2 2" xfId="15190" xr:uid="{EB55CE0B-D331-46C2-B6E8-13412A92242E}"/>
    <cellStyle name="Normal 2 4 2 4 2 2 6 3" xfId="10972" xr:uid="{23E618B9-CA44-4EF3-8D58-3A989BFFC616}"/>
    <cellStyle name="Normal 2 4 2 4 2 2 7" xfId="4685" xr:uid="{00000000-0005-0000-0000-00004B0F0000}"/>
    <cellStyle name="Normal 2 4 2 4 2 2 7 2" xfId="13124" xr:uid="{B61D082C-4ECB-4DB3-B9AF-06DFD09F14D3}"/>
    <cellStyle name="Normal 2 4 2 4 2 2 8" xfId="8906" xr:uid="{7A915886-DF68-493D-ADE1-4ECED3DB2318}"/>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15631B10-6A56-4DB9-959B-104CB099EA33}"/>
    <cellStyle name="Normal 2 4 2 4 2 3 2 3" xfId="11464" xr:uid="{490FF5B5-5108-4901-BE6B-934C05A56265}"/>
    <cellStyle name="Normal 2 4 2 4 2 3 3" xfId="5098" xr:uid="{00000000-0005-0000-0000-00004F0F0000}"/>
    <cellStyle name="Normal 2 4 2 4 2 3 3 2" xfId="13537" xr:uid="{00027081-C682-4877-B542-A283E66CDE2E}"/>
    <cellStyle name="Normal 2 4 2 4 2 3 4" xfId="9319" xr:uid="{6A626247-222B-454E-935D-F0C54DA68828}"/>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0A7B98A6-2721-4A14-9E0E-1ED72A5DCC86}"/>
    <cellStyle name="Normal 2 4 2 4 2 4 2 3" xfId="11877" xr:uid="{1B3030B8-5812-4270-85DF-C1141FFE4D1B}"/>
    <cellStyle name="Normal 2 4 2 4 2 4 3" xfId="5511" xr:uid="{00000000-0005-0000-0000-0000530F0000}"/>
    <cellStyle name="Normal 2 4 2 4 2 4 3 2" xfId="13950" xr:uid="{DEF3E630-62D7-4DDA-A960-2E9353D1C794}"/>
    <cellStyle name="Normal 2 4 2 4 2 4 4" xfId="9732" xr:uid="{477EF0CA-74C1-40D2-AA4E-2FC7505E93A7}"/>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1F2B4C84-5085-444D-9E59-414E1FC00FE1}"/>
    <cellStyle name="Normal 2 4 2 4 2 5 2 3" xfId="12290" xr:uid="{EF516807-7196-4BF3-8F8B-5F017CF3FAB9}"/>
    <cellStyle name="Normal 2 4 2 4 2 5 3" xfId="5924" xr:uid="{00000000-0005-0000-0000-0000570F0000}"/>
    <cellStyle name="Normal 2 4 2 4 2 5 3 2" xfId="14363" xr:uid="{70709E96-A143-4BB4-AC3D-5D0AB9EB565A}"/>
    <cellStyle name="Normal 2 4 2 4 2 5 4" xfId="10145" xr:uid="{DA36851C-BB61-483B-AA43-5A5D886A9831}"/>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3C3AEFFF-AF4F-4963-86FC-A3051D50FE58}"/>
    <cellStyle name="Normal 2 4 2 4 2 6 2 3" xfId="12703" xr:uid="{E1FD1C62-B896-4214-89CF-B0FBE79E30D6}"/>
    <cellStyle name="Normal 2 4 2 4 2 6 3" xfId="6337" xr:uid="{00000000-0005-0000-0000-00005B0F0000}"/>
    <cellStyle name="Normal 2 4 2 4 2 6 3 2" xfId="14776" xr:uid="{A4097AE4-5FB2-4F2B-A7E7-C0C932D34055}"/>
    <cellStyle name="Normal 2 4 2 4 2 6 4" xfId="10558" xr:uid="{39292B2E-F25C-44E8-A2E0-A6E00979B43E}"/>
    <cellStyle name="Normal 2 4 2 4 2 7" xfId="2466" xr:uid="{00000000-0005-0000-0000-00005C0F0000}"/>
    <cellStyle name="Normal 2 4 2 4 2 7 2" xfId="6750" xr:uid="{00000000-0005-0000-0000-00005D0F0000}"/>
    <cellStyle name="Normal 2 4 2 4 2 7 2 2" xfId="15189" xr:uid="{1C6D747A-A4CC-4367-9615-8302BC128B09}"/>
    <cellStyle name="Normal 2 4 2 4 2 7 3" xfId="10971" xr:uid="{6795DB32-0463-45C5-9415-C0179566905E}"/>
    <cellStyle name="Normal 2 4 2 4 2 8" xfId="4684" xr:uid="{00000000-0005-0000-0000-00005E0F0000}"/>
    <cellStyle name="Normal 2 4 2 4 2 8 2" xfId="13123" xr:uid="{0EAE3D75-93CB-489B-8B6B-2BEBCA8A3F13}"/>
    <cellStyle name="Normal 2 4 2 4 2 9" xfId="8905" xr:uid="{191CE1CE-F3E0-4CAE-A35D-73984B0A0AE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628D80D4-D013-4185-AB33-AAC85AA5910F}"/>
    <cellStyle name="Normal 2 4 2 4 3 2 2 3" xfId="11466" xr:uid="{B5FC048C-F696-4AE2-B4AF-A0B4422D470E}"/>
    <cellStyle name="Normal 2 4 2 4 3 2 3" xfId="5100" xr:uid="{00000000-0005-0000-0000-0000630F0000}"/>
    <cellStyle name="Normal 2 4 2 4 3 2 3 2" xfId="13539" xr:uid="{947CB89A-5387-4E6E-95FE-F004C2062E07}"/>
    <cellStyle name="Normal 2 4 2 4 3 2 4" xfId="9321" xr:uid="{AA77330B-662A-4C7A-9DFA-F03C6AC7F3F3}"/>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90795CA9-CA8D-4580-9643-D04EB3582CEA}"/>
    <cellStyle name="Normal 2 4 2 4 3 3 2 3" xfId="11879" xr:uid="{A38B72A6-C8BC-404B-AB11-3E4A82C171B7}"/>
    <cellStyle name="Normal 2 4 2 4 3 3 3" xfId="5513" xr:uid="{00000000-0005-0000-0000-0000670F0000}"/>
    <cellStyle name="Normal 2 4 2 4 3 3 3 2" xfId="13952" xr:uid="{A917B1C2-311E-42AC-8E11-F631DBD61D56}"/>
    <cellStyle name="Normal 2 4 2 4 3 3 4" xfId="9734" xr:uid="{05980011-E78D-4CED-AB06-024F3F5E0C99}"/>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C68646B8-FEC7-40C0-B42D-6E118F92CBF5}"/>
    <cellStyle name="Normal 2 4 2 4 3 4 2 3" xfId="12292" xr:uid="{4C914DF7-19E7-49AF-9DD4-DA82F3E6B49A}"/>
    <cellStyle name="Normal 2 4 2 4 3 4 3" xfId="5926" xr:uid="{00000000-0005-0000-0000-00006B0F0000}"/>
    <cellStyle name="Normal 2 4 2 4 3 4 3 2" xfId="14365" xr:uid="{7D12E243-FB36-44D0-800E-46035FB664F2}"/>
    <cellStyle name="Normal 2 4 2 4 3 4 4" xfId="10147" xr:uid="{6D8950F3-4755-491D-B723-06611DFB9A63}"/>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B38B0DEA-9782-4605-9FE6-4D211BA9D297}"/>
    <cellStyle name="Normal 2 4 2 4 3 5 2 3" xfId="12705" xr:uid="{5F9D02F6-12C1-4D4A-9061-D746D6745294}"/>
    <cellStyle name="Normal 2 4 2 4 3 5 3" xfId="6339" xr:uid="{00000000-0005-0000-0000-00006F0F0000}"/>
    <cellStyle name="Normal 2 4 2 4 3 5 3 2" xfId="14778" xr:uid="{1A03B274-6AB9-4FCC-9284-F5DDABC2227A}"/>
    <cellStyle name="Normal 2 4 2 4 3 5 4" xfId="10560" xr:uid="{6051D4E8-A1F2-4D2A-8B66-924FA1CA8138}"/>
    <cellStyle name="Normal 2 4 2 4 3 6" xfId="2468" xr:uid="{00000000-0005-0000-0000-0000700F0000}"/>
    <cellStyle name="Normal 2 4 2 4 3 6 2" xfId="6752" xr:uid="{00000000-0005-0000-0000-0000710F0000}"/>
    <cellStyle name="Normal 2 4 2 4 3 6 2 2" xfId="15191" xr:uid="{F886D1A3-126D-4572-9B60-FB7C55474D3E}"/>
    <cellStyle name="Normal 2 4 2 4 3 6 3" xfId="10973" xr:uid="{A2ECA65C-CE3F-4F3E-8E06-A284035D1319}"/>
    <cellStyle name="Normal 2 4 2 4 3 7" xfId="4686" xr:uid="{00000000-0005-0000-0000-0000720F0000}"/>
    <cellStyle name="Normal 2 4 2 4 3 7 2" xfId="13125" xr:uid="{47F90A5B-B0A3-486E-89C0-AE67FDD3B6EB}"/>
    <cellStyle name="Normal 2 4 2 4 3 8" xfId="8907" xr:uid="{729F4524-90F5-4FC0-A2F0-BD19C4EDD213}"/>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A9C219C3-E0F7-4A66-B8AF-D2C3FA8948B3}"/>
    <cellStyle name="Normal 2 4 2 4 4 2 3" xfId="11463" xr:uid="{E6E7DE20-A138-48CA-B92F-7E3F679C8D8E}"/>
    <cellStyle name="Normal 2 4 2 4 4 3" xfId="5097" xr:uid="{00000000-0005-0000-0000-0000760F0000}"/>
    <cellStyle name="Normal 2 4 2 4 4 3 2" xfId="13536" xr:uid="{8F2C0896-2918-4C62-B72C-6C7803CB2469}"/>
    <cellStyle name="Normal 2 4 2 4 4 4" xfId="9318" xr:uid="{4890E9DF-5DA1-44F4-8AF2-B620C1C0FD6A}"/>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88FB6CDE-1DD9-47E9-8932-4EF6978C72A3}"/>
    <cellStyle name="Normal 2 4 2 4 5 2 3" xfId="11876" xr:uid="{AAAB7EEE-9C32-482D-A318-F1C3C740D3CA}"/>
    <cellStyle name="Normal 2 4 2 4 5 3" xfId="5510" xr:uid="{00000000-0005-0000-0000-00007A0F0000}"/>
    <cellStyle name="Normal 2 4 2 4 5 3 2" xfId="13949" xr:uid="{375B1B51-5C95-4C36-997E-6928B0C7390E}"/>
    <cellStyle name="Normal 2 4 2 4 5 4" xfId="9731" xr:uid="{D50020A3-F243-4C8C-8A1B-22D07FA58928}"/>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36DC093B-F6B7-444A-9C31-30FB6F28EC77}"/>
    <cellStyle name="Normal 2 4 2 4 6 2 3" xfId="12289" xr:uid="{AC60386C-8245-44C9-93E7-9E538CAA4D77}"/>
    <cellStyle name="Normal 2 4 2 4 6 3" xfId="5923" xr:uid="{00000000-0005-0000-0000-00007E0F0000}"/>
    <cellStyle name="Normal 2 4 2 4 6 3 2" xfId="14362" xr:uid="{84BC6153-881A-4936-B10E-A32819F7DE96}"/>
    <cellStyle name="Normal 2 4 2 4 6 4" xfId="10144" xr:uid="{6BF3542F-4AB7-4BBF-B344-A6F42E0915F5}"/>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B6BB549C-6A9D-429B-8B55-12A20C0A2BC5}"/>
    <cellStyle name="Normal 2 4 2 4 7 2 3" xfId="12702" xr:uid="{AA740D4A-1717-445F-B15E-368237558A43}"/>
    <cellStyle name="Normal 2 4 2 4 7 3" xfId="6336" xr:uid="{00000000-0005-0000-0000-0000820F0000}"/>
    <cellStyle name="Normal 2 4 2 4 7 3 2" xfId="14775" xr:uid="{EE3C690B-1F1B-4CF0-8724-27CA9AC7ECF5}"/>
    <cellStyle name="Normal 2 4 2 4 7 4" xfId="10557" xr:uid="{323DF88A-D93B-4166-8162-63476D21000E}"/>
    <cellStyle name="Normal 2 4 2 4 8" xfId="2465" xr:uid="{00000000-0005-0000-0000-0000830F0000}"/>
    <cellStyle name="Normal 2 4 2 4 8 2" xfId="6749" xr:uid="{00000000-0005-0000-0000-0000840F0000}"/>
    <cellStyle name="Normal 2 4 2 4 8 2 2" xfId="15188" xr:uid="{86D3A2A0-7047-4C16-8A0E-AC0DE7908056}"/>
    <cellStyle name="Normal 2 4 2 4 8 3" xfId="10970" xr:uid="{16F00242-2691-4E68-883F-F2AB05056F4A}"/>
    <cellStyle name="Normal 2 4 2 4 9" xfId="4683" xr:uid="{00000000-0005-0000-0000-0000850F0000}"/>
    <cellStyle name="Normal 2 4 2 4 9 2" xfId="13122" xr:uid="{2942D485-8147-409B-98B1-A2B3B080B9B7}"/>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6B77496F-BF18-44DF-9B50-C3EDF0EFE417}"/>
    <cellStyle name="Normal 2 4 2 5 2 2 2 3" xfId="11468" xr:uid="{978D3EE7-0EF5-4442-AF19-D8E920D5C88E}"/>
    <cellStyle name="Normal 2 4 2 5 2 2 3" xfId="5102" xr:uid="{00000000-0005-0000-0000-00008B0F0000}"/>
    <cellStyle name="Normal 2 4 2 5 2 2 3 2" xfId="13541" xr:uid="{77E623DD-3F07-408C-8BC1-B96C50E6D020}"/>
    <cellStyle name="Normal 2 4 2 5 2 2 4" xfId="9323" xr:uid="{D56F150E-FB79-4779-A049-16F983932275}"/>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88BC286D-474C-4D29-A095-CE3050BA08F7}"/>
    <cellStyle name="Normal 2 4 2 5 2 3 2 3" xfId="11881" xr:uid="{14B6B31E-8722-41FE-AB25-846D5F679B96}"/>
    <cellStyle name="Normal 2 4 2 5 2 3 3" xfId="5515" xr:uid="{00000000-0005-0000-0000-00008F0F0000}"/>
    <cellStyle name="Normal 2 4 2 5 2 3 3 2" xfId="13954" xr:uid="{839788F8-881B-44AB-8F4D-FFE5BC34F3CB}"/>
    <cellStyle name="Normal 2 4 2 5 2 3 4" xfId="9736" xr:uid="{965E9E2D-AED9-4E55-86C4-62B540CDF3F4}"/>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3B78043B-DC69-461B-ABAE-68728745FD9F}"/>
    <cellStyle name="Normal 2 4 2 5 2 4 2 3" xfId="12294" xr:uid="{0DA83141-1B21-4FDF-AF55-6EAAB58C8ACE}"/>
    <cellStyle name="Normal 2 4 2 5 2 4 3" xfId="5928" xr:uid="{00000000-0005-0000-0000-0000930F0000}"/>
    <cellStyle name="Normal 2 4 2 5 2 4 3 2" xfId="14367" xr:uid="{1F373FE6-708D-4753-BCE3-42F0D5761E92}"/>
    <cellStyle name="Normal 2 4 2 5 2 4 4" xfId="10149" xr:uid="{24BEA00F-5185-4799-8DE4-FC39AB3CA7AA}"/>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8323EF98-ED02-49E1-BBBF-355EE2CE9C70}"/>
    <cellStyle name="Normal 2 4 2 5 2 5 2 3" xfId="12707" xr:uid="{7FA39642-6BF6-4C85-917E-EDEDB262A274}"/>
    <cellStyle name="Normal 2 4 2 5 2 5 3" xfId="6341" xr:uid="{00000000-0005-0000-0000-0000970F0000}"/>
    <cellStyle name="Normal 2 4 2 5 2 5 3 2" xfId="14780" xr:uid="{C477811D-0C50-4A1C-BA61-7B856FFF9AC7}"/>
    <cellStyle name="Normal 2 4 2 5 2 5 4" xfId="10562" xr:uid="{966D9D54-403D-4C1A-9D20-AC9C0FBF07BD}"/>
    <cellStyle name="Normal 2 4 2 5 2 6" xfId="2470" xr:uid="{00000000-0005-0000-0000-0000980F0000}"/>
    <cellStyle name="Normal 2 4 2 5 2 6 2" xfId="6754" xr:uid="{00000000-0005-0000-0000-0000990F0000}"/>
    <cellStyle name="Normal 2 4 2 5 2 6 2 2" xfId="15193" xr:uid="{DFB542F1-B971-4811-AFC5-1C5380164116}"/>
    <cellStyle name="Normal 2 4 2 5 2 6 3" xfId="10975" xr:uid="{9D38814D-4FED-42D2-9943-84E200C9B1E1}"/>
    <cellStyle name="Normal 2 4 2 5 2 7" xfId="4688" xr:uid="{00000000-0005-0000-0000-00009A0F0000}"/>
    <cellStyle name="Normal 2 4 2 5 2 7 2" xfId="13127" xr:uid="{F62C4CF2-873D-4BF6-B496-A81C64A92F28}"/>
    <cellStyle name="Normal 2 4 2 5 2 8" xfId="8909" xr:uid="{BF0E5C96-F3AE-467B-A9D6-F1E5840C4B61}"/>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ADB46A59-4470-412B-88EE-B1B618C44B24}"/>
    <cellStyle name="Normal 2 4 2 5 3 2 3" xfId="11467" xr:uid="{17D5F3BB-723A-446D-979D-C5FF0543CDEF}"/>
    <cellStyle name="Normal 2 4 2 5 3 3" xfId="5101" xr:uid="{00000000-0005-0000-0000-00009E0F0000}"/>
    <cellStyle name="Normal 2 4 2 5 3 3 2" xfId="13540" xr:uid="{3C1C0016-B811-4482-B6B9-53BB4D1D30F2}"/>
    <cellStyle name="Normal 2 4 2 5 3 4" xfId="9322" xr:uid="{17CBEE40-682A-49DE-927B-FFB6F449B248}"/>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B794F56F-7F37-45F3-B6A9-15C0D8A64000}"/>
    <cellStyle name="Normal 2 4 2 5 4 2 3" xfId="11880" xr:uid="{32758DD1-24E8-4C3A-94E8-155D985D420D}"/>
    <cellStyle name="Normal 2 4 2 5 4 3" xfId="5514" xr:uid="{00000000-0005-0000-0000-0000A20F0000}"/>
    <cellStyle name="Normal 2 4 2 5 4 3 2" xfId="13953" xr:uid="{D3769118-F666-4A2B-A88E-0BF7C3D1E694}"/>
    <cellStyle name="Normal 2 4 2 5 4 4" xfId="9735" xr:uid="{AB1AEB90-359F-4325-927E-4971E5701B1A}"/>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A3A1BCE4-5979-49A1-837E-4BBA22A62F38}"/>
    <cellStyle name="Normal 2 4 2 5 5 2 3" xfId="12293" xr:uid="{7D8AFAB0-C3A6-42BC-9F1E-30B060CE2FAC}"/>
    <cellStyle name="Normal 2 4 2 5 5 3" xfId="5927" xr:uid="{00000000-0005-0000-0000-0000A60F0000}"/>
    <cellStyle name="Normal 2 4 2 5 5 3 2" xfId="14366" xr:uid="{B9F495BB-310D-46D6-9FB7-D6C32FE56D3B}"/>
    <cellStyle name="Normal 2 4 2 5 5 4" xfId="10148" xr:uid="{09088405-449C-4066-867E-8B1BCB9BBF28}"/>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74F3FE2C-A763-4433-B102-7F3501A1BC1C}"/>
    <cellStyle name="Normal 2 4 2 5 6 2 3" xfId="12706" xr:uid="{4CB45A81-33A8-4424-82D7-BCAE7F28CABC}"/>
    <cellStyle name="Normal 2 4 2 5 6 3" xfId="6340" xr:uid="{00000000-0005-0000-0000-0000AA0F0000}"/>
    <cellStyle name="Normal 2 4 2 5 6 3 2" xfId="14779" xr:uid="{DF526724-EB91-4322-834E-1E03C4CDB275}"/>
    <cellStyle name="Normal 2 4 2 5 6 4" xfId="10561" xr:uid="{04229307-9649-400D-8E93-DBD57EBD7910}"/>
    <cellStyle name="Normal 2 4 2 5 7" xfId="2469" xr:uid="{00000000-0005-0000-0000-0000AB0F0000}"/>
    <cellStyle name="Normal 2 4 2 5 7 2" xfId="6753" xr:uid="{00000000-0005-0000-0000-0000AC0F0000}"/>
    <cellStyle name="Normal 2 4 2 5 7 2 2" xfId="15192" xr:uid="{30DF19F6-8D5C-4D3E-BAD5-CC2F3492723E}"/>
    <cellStyle name="Normal 2 4 2 5 7 3" xfId="10974" xr:uid="{9724E983-3E98-4898-AF44-DD4252A8FBB0}"/>
    <cellStyle name="Normal 2 4 2 5 8" xfId="4687" xr:uid="{00000000-0005-0000-0000-0000AD0F0000}"/>
    <cellStyle name="Normal 2 4 2 5 8 2" xfId="13126" xr:uid="{8133346F-D33F-401F-A477-9110ECB277B2}"/>
    <cellStyle name="Normal 2 4 2 5 9" xfId="8908" xr:uid="{7B9E1E80-AB31-4321-925D-EFE34FEF4ED3}"/>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2BC5F5F5-5F28-4B87-B3D5-DC52FA803832}"/>
    <cellStyle name="Normal 2 4 2 6 2 2 3" xfId="11469" xr:uid="{32BCC708-1C10-4DD6-905D-8970419C68EE}"/>
    <cellStyle name="Normal 2 4 2 6 2 3" xfId="5103" xr:uid="{00000000-0005-0000-0000-0000B20F0000}"/>
    <cellStyle name="Normal 2 4 2 6 2 3 2" xfId="13542" xr:uid="{3B6E9FDD-2ADE-46A8-8DF3-3154AAD801C0}"/>
    <cellStyle name="Normal 2 4 2 6 2 4" xfId="9324" xr:uid="{63B04E68-A47F-48B2-8413-4228CB9E4468}"/>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C7B1F1A9-2C87-4BFB-9B4A-7C29177E6D6F}"/>
    <cellStyle name="Normal 2 4 2 6 3 2 3" xfId="11882" xr:uid="{0328DBB6-4455-48BD-A774-788B5D335CFA}"/>
    <cellStyle name="Normal 2 4 2 6 3 3" xfId="5516" xr:uid="{00000000-0005-0000-0000-0000B60F0000}"/>
    <cellStyle name="Normal 2 4 2 6 3 3 2" xfId="13955" xr:uid="{41C6EFC5-68DD-4136-A317-A57BD5CDB494}"/>
    <cellStyle name="Normal 2 4 2 6 3 4" xfId="9737" xr:uid="{247F4F09-AF71-4933-83AF-80C6271B05EC}"/>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B5DFF493-393D-4309-8320-A8E5C8F2E53A}"/>
    <cellStyle name="Normal 2 4 2 6 4 2 3" xfId="12295" xr:uid="{22CE8129-0DBC-46BC-A8AC-C60711DF5907}"/>
    <cellStyle name="Normal 2 4 2 6 4 3" xfId="5929" xr:uid="{00000000-0005-0000-0000-0000BA0F0000}"/>
    <cellStyle name="Normal 2 4 2 6 4 3 2" xfId="14368" xr:uid="{F4E09F29-289D-4CA5-AD5A-C23C5EE4AF20}"/>
    <cellStyle name="Normal 2 4 2 6 4 4" xfId="10150" xr:uid="{73003EA0-6B70-4A2A-8206-DED889225E1E}"/>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F147ED06-E00A-43FF-A702-6D5EE2C2CCBB}"/>
    <cellStyle name="Normal 2 4 2 6 5 2 3" xfId="12708" xr:uid="{BD45967F-0564-45ED-94F3-B590F9907A8D}"/>
    <cellStyle name="Normal 2 4 2 6 5 3" xfId="6342" xr:uid="{00000000-0005-0000-0000-0000BE0F0000}"/>
    <cellStyle name="Normal 2 4 2 6 5 3 2" xfId="14781" xr:uid="{3D631053-6D9E-48A5-A08D-8776106BD2C8}"/>
    <cellStyle name="Normal 2 4 2 6 5 4" xfId="10563" xr:uid="{904BF9B4-7A4C-429A-99DF-905D0EE57065}"/>
    <cellStyle name="Normal 2 4 2 6 6" xfId="2471" xr:uid="{00000000-0005-0000-0000-0000BF0F0000}"/>
    <cellStyle name="Normal 2 4 2 6 6 2" xfId="6755" xr:uid="{00000000-0005-0000-0000-0000C00F0000}"/>
    <cellStyle name="Normal 2 4 2 6 6 2 2" xfId="15194" xr:uid="{BBB45031-E42D-4C3F-A23E-C39CCECEEB86}"/>
    <cellStyle name="Normal 2 4 2 6 6 3" xfId="10976" xr:uid="{5F09E778-B171-4295-85C9-7B3753904971}"/>
    <cellStyle name="Normal 2 4 2 6 7" xfId="4689" xr:uid="{00000000-0005-0000-0000-0000C10F0000}"/>
    <cellStyle name="Normal 2 4 2 6 7 2" xfId="13128" xr:uid="{8FB7E5A8-E959-478A-9545-52872C07246D}"/>
    <cellStyle name="Normal 2 4 2 6 8" xfId="8910" xr:uid="{2BB3304F-2F8B-47F3-B69A-4264675F3468}"/>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BE41FDC5-CEAC-4929-9F1A-342DCF1BB568}"/>
    <cellStyle name="Normal 2 4 2 7 2 3" xfId="11454" xr:uid="{EE394B45-6A51-4328-98F1-1AD05B2558AD}"/>
    <cellStyle name="Normal 2 4 2 7 3" xfId="5088" xr:uid="{00000000-0005-0000-0000-0000C50F0000}"/>
    <cellStyle name="Normal 2 4 2 7 3 2" xfId="13527" xr:uid="{8D60B022-B7A6-4C5E-9168-7598EB676BA1}"/>
    <cellStyle name="Normal 2 4 2 7 4" xfId="9309" xr:uid="{5B9D5D34-A662-4A47-972D-F8D2CBF37049}"/>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655EFA34-DADA-424D-A16F-DF320EDC4C19}"/>
    <cellStyle name="Normal 2 4 2 8 2 3" xfId="11867" xr:uid="{A87EA18D-B34A-4063-AA7A-DBE7E57AE75A}"/>
    <cellStyle name="Normal 2 4 2 8 3" xfId="5501" xr:uid="{00000000-0005-0000-0000-0000C90F0000}"/>
    <cellStyle name="Normal 2 4 2 8 3 2" xfId="13940" xr:uid="{2C3FA304-0112-4F25-AEEC-DCD7A15D7D18}"/>
    <cellStyle name="Normal 2 4 2 8 4" xfId="9722" xr:uid="{9C479DDF-D241-46AE-895C-808DBA6854DD}"/>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23D83079-322E-407D-8324-794AE063998F}"/>
    <cellStyle name="Normal 2 4 2 9 2 3" xfId="12280" xr:uid="{5882C8FF-203F-4B59-AC55-FCD3CB0334BE}"/>
    <cellStyle name="Normal 2 4 2 9 3" xfId="5914" xr:uid="{00000000-0005-0000-0000-0000CD0F0000}"/>
    <cellStyle name="Normal 2 4 2 9 3 2" xfId="14353" xr:uid="{8354FFFF-517F-4125-BBFB-D859A2F5068A}"/>
    <cellStyle name="Normal 2 4 2 9 4" xfId="10135" xr:uid="{8401159B-F85C-408B-BB13-B46EAE6EA33E}"/>
    <cellStyle name="Normal 2 4 3" xfId="296" xr:uid="{00000000-0005-0000-0000-0000CE0F0000}"/>
    <cellStyle name="Normal 2 4 3 10" xfId="8911" xr:uid="{62FC6307-90CA-453E-ACF3-F57245FD8484}"/>
    <cellStyle name="Normal 2 4 3 2" xfId="297" xr:uid="{00000000-0005-0000-0000-0000CF0F0000}"/>
    <cellStyle name="Normal 2 4 3 3" xfId="298" xr:uid="{00000000-0005-0000-0000-0000D00F0000}"/>
    <cellStyle name="Normal 2 4 3 3 10" xfId="8912" xr:uid="{F7C3876C-544C-4622-AEA9-D99C35B2A2C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6BB1D0D1-1CA8-4644-8783-522A3BF15047}"/>
    <cellStyle name="Normal 2 4 3 3 2 2 2 2 3" xfId="11473" xr:uid="{213AC1B3-1E3C-4050-A8D1-8E2F80261B6C}"/>
    <cellStyle name="Normal 2 4 3 3 2 2 2 3" xfId="5107" xr:uid="{00000000-0005-0000-0000-0000D60F0000}"/>
    <cellStyle name="Normal 2 4 3 3 2 2 2 3 2" xfId="13546" xr:uid="{1235AB5B-99EF-45EE-A134-555A9A9FFF1D}"/>
    <cellStyle name="Normal 2 4 3 3 2 2 2 4" xfId="9328" xr:uid="{5FF98E85-4DCB-40F4-A257-8E82CE194016}"/>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8818E2EE-0EA2-4945-8901-1B57067035C9}"/>
    <cellStyle name="Normal 2 4 3 3 2 2 3 2 3" xfId="11886" xr:uid="{938836A2-6A04-4BB5-9B8A-41D3E82E8706}"/>
    <cellStyle name="Normal 2 4 3 3 2 2 3 3" xfId="5520" xr:uid="{00000000-0005-0000-0000-0000DA0F0000}"/>
    <cellStyle name="Normal 2 4 3 3 2 2 3 3 2" xfId="13959" xr:uid="{E94655F6-27B9-4D7B-A0FE-ACDDB6824019}"/>
    <cellStyle name="Normal 2 4 3 3 2 2 3 4" xfId="9741" xr:uid="{B6FA5D8A-4034-4516-A78D-C2D8E8FD904E}"/>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1413BF36-C3F4-4496-9358-EB89C991DF5D}"/>
    <cellStyle name="Normal 2 4 3 3 2 2 4 2 3" xfId="12299" xr:uid="{23E8341C-DC7B-485A-B729-6731647E284F}"/>
    <cellStyle name="Normal 2 4 3 3 2 2 4 3" xfId="5933" xr:uid="{00000000-0005-0000-0000-0000DE0F0000}"/>
    <cellStyle name="Normal 2 4 3 3 2 2 4 3 2" xfId="14372" xr:uid="{7B61D5B7-6354-4E62-9487-B412E6FE00B3}"/>
    <cellStyle name="Normal 2 4 3 3 2 2 4 4" xfId="10154" xr:uid="{4609CE32-3D95-408B-A100-B6CE8EE35DB7}"/>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89E4A226-212D-4C3B-9BB3-672716ACCA2F}"/>
    <cellStyle name="Normal 2 4 3 3 2 2 5 2 3" xfId="12712" xr:uid="{62B7DBD2-2BDF-4708-8119-876EEEDD44D4}"/>
    <cellStyle name="Normal 2 4 3 3 2 2 5 3" xfId="6346" xr:uid="{00000000-0005-0000-0000-0000E20F0000}"/>
    <cellStyle name="Normal 2 4 3 3 2 2 5 3 2" xfId="14785" xr:uid="{95896628-9815-4661-BEAC-FA4C9E967B8D}"/>
    <cellStyle name="Normal 2 4 3 3 2 2 5 4" xfId="10567" xr:uid="{87FD1D22-F391-4074-9892-0C78B642F93A}"/>
    <cellStyle name="Normal 2 4 3 3 2 2 6" xfId="2475" xr:uid="{00000000-0005-0000-0000-0000E30F0000}"/>
    <cellStyle name="Normal 2 4 3 3 2 2 6 2" xfId="6759" xr:uid="{00000000-0005-0000-0000-0000E40F0000}"/>
    <cellStyle name="Normal 2 4 3 3 2 2 6 2 2" xfId="15198" xr:uid="{D78CE50C-8EFE-4F02-AC32-375C5250207A}"/>
    <cellStyle name="Normal 2 4 3 3 2 2 6 3" xfId="10980" xr:uid="{8558982B-4C79-4A81-8C57-F8A2251B833C}"/>
    <cellStyle name="Normal 2 4 3 3 2 2 7" xfId="4693" xr:uid="{00000000-0005-0000-0000-0000E50F0000}"/>
    <cellStyle name="Normal 2 4 3 3 2 2 7 2" xfId="13132" xr:uid="{0D73BE99-29DB-4A0A-B6C0-7806C0B5132F}"/>
    <cellStyle name="Normal 2 4 3 3 2 2 8" xfId="8914" xr:uid="{A02D013C-A3F2-4449-BB5E-49E4C841B706}"/>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29B60EFE-F8E3-40AA-A95F-874B44EFFB8A}"/>
    <cellStyle name="Normal 2 4 3 3 2 3 2 3" xfId="11472" xr:uid="{BAED55F2-AD98-486F-A685-583C26E4CEE7}"/>
    <cellStyle name="Normal 2 4 3 3 2 3 3" xfId="5106" xr:uid="{00000000-0005-0000-0000-0000E90F0000}"/>
    <cellStyle name="Normal 2 4 3 3 2 3 3 2" xfId="13545" xr:uid="{9FF13DB8-013D-4333-AE5A-0CAA79D278B5}"/>
    <cellStyle name="Normal 2 4 3 3 2 3 4" xfId="9327" xr:uid="{A830404D-1157-4829-9E4E-4FC30F562D0D}"/>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472AA5D8-9F7F-44BC-B699-104BBEAF3352}"/>
    <cellStyle name="Normal 2 4 3 3 2 4 2 3" xfId="11885" xr:uid="{B4CC55A2-06C3-4FAC-907D-0C086E3432F3}"/>
    <cellStyle name="Normal 2 4 3 3 2 4 3" xfId="5519" xr:uid="{00000000-0005-0000-0000-0000ED0F0000}"/>
    <cellStyle name="Normal 2 4 3 3 2 4 3 2" xfId="13958" xr:uid="{8FE43890-495C-443A-84C3-176AFD2570AA}"/>
    <cellStyle name="Normal 2 4 3 3 2 4 4" xfId="9740" xr:uid="{1009A2DD-BE35-481C-B01F-34250F38CDC7}"/>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F8D268F6-B602-4563-9D04-2EC9D86875D3}"/>
    <cellStyle name="Normal 2 4 3 3 2 5 2 3" xfId="12298" xr:uid="{B11F3EEF-D3D0-45BC-B882-1B9DF2F4B01F}"/>
    <cellStyle name="Normal 2 4 3 3 2 5 3" xfId="5932" xr:uid="{00000000-0005-0000-0000-0000F10F0000}"/>
    <cellStyle name="Normal 2 4 3 3 2 5 3 2" xfId="14371" xr:uid="{C1469182-B353-409A-9480-C7E2AC0747E3}"/>
    <cellStyle name="Normal 2 4 3 3 2 5 4" xfId="10153" xr:uid="{5A2772DD-D7BE-4A8D-87E0-38B1EBBDCDD8}"/>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572B0B2D-44C6-43E8-AE11-BDAF333A5C8E}"/>
    <cellStyle name="Normal 2 4 3 3 2 6 2 3" xfId="12711" xr:uid="{8DCA78FD-555A-4D4C-A384-324E1CC34700}"/>
    <cellStyle name="Normal 2 4 3 3 2 6 3" xfId="6345" xr:uid="{00000000-0005-0000-0000-0000F50F0000}"/>
    <cellStyle name="Normal 2 4 3 3 2 6 3 2" xfId="14784" xr:uid="{7960ADB4-5310-4F04-B719-37CF246A0FB3}"/>
    <cellStyle name="Normal 2 4 3 3 2 6 4" xfId="10566" xr:uid="{0A739F45-4374-4BC0-95B1-379311CF4613}"/>
    <cellStyle name="Normal 2 4 3 3 2 7" xfId="2474" xr:uid="{00000000-0005-0000-0000-0000F60F0000}"/>
    <cellStyle name="Normal 2 4 3 3 2 7 2" xfId="6758" xr:uid="{00000000-0005-0000-0000-0000F70F0000}"/>
    <cellStyle name="Normal 2 4 3 3 2 7 2 2" xfId="15197" xr:uid="{5096D929-844F-475E-BCC4-A698B9BB1ED7}"/>
    <cellStyle name="Normal 2 4 3 3 2 7 3" xfId="10979" xr:uid="{76EC3F80-B8F2-4DE1-8243-5FCD5E595464}"/>
    <cellStyle name="Normal 2 4 3 3 2 8" xfId="4692" xr:uid="{00000000-0005-0000-0000-0000F80F0000}"/>
    <cellStyle name="Normal 2 4 3 3 2 8 2" xfId="13131" xr:uid="{432F1EE7-EF78-4140-9E1F-828D74C7665C}"/>
    <cellStyle name="Normal 2 4 3 3 2 9" xfId="8913" xr:uid="{13A63193-23BF-40A1-8726-0F727417E8AC}"/>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774E8B02-37CF-4ED2-AF10-521947AB1575}"/>
    <cellStyle name="Normal 2 4 3 3 3 2 2 3" xfId="11474" xr:uid="{639352B1-E747-4FAC-A819-B21E7EB37A42}"/>
    <cellStyle name="Normal 2 4 3 3 3 2 3" xfId="5108" xr:uid="{00000000-0005-0000-0000-0000FD0F0000}"/>
    <cellStyle name="Normal 2 4 3 3 3 2 3 2" xfId="13547" xr:uid="{9BF9DFB8-9323-4E76-B777-D2775DF8BAAA}"/>
    <cellStyle name="Normal 2 4 3 3 3 2 4" xfId="9329" xr:uid="{E721F13B-72A3-4AE0-818F-772DC63E16B8}"/>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5FEF6FE8-9980-4C59-BDCD-60722F8F4C46}"/>
    <cellStyle name="Normal 2 4 3 3 3 3 2 3" xfId="11887" xr:uid="{39C585E3-B961-4FA0-AE08-C893B6235E79}"/>
    <cellStyle name="Normal 2 4 3 3 3 3 3" xfId="5521" xr:uid="{00000000-0005-0000-0000-000001100000}"/>
    <cellStyle name="Normal 2 4 3 3 3 3 3 2" xfId="13960" xr:uid="{B687D4D4-2B36-4F9E-BE76-89A824C35491}"/>
    <cellStyle name="Normal 2 4 3 3 3 3 4" xfId="9742" xr:uid="{4A623499-1784-4EE1-9CB9-EA70B532B17E}"/>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236BB2AC-9EB0-4646-AF30-9B6684B2CC53}"/>
    <cellStyle name="Normal 2 4 3 3 3 4 2 3" xfId="12300" xr:uid="{F9D37CF1-B72A-477E-AF5C-4E2BB6F883A8}"/>
    <cellStyle name="Normal 2 4 3 3 3 4 3" xfId="5934" xr:uid="{00000000-0005-0000-0000-000005100000}"/>
    <cellStyle name="Normal 2 4 3 3 3 4 3 2" xfId="14373" xr:uid="{BB638BFE-D1C1-4458-B836-2D944C2C3121}"/>
    <cellStyle name="Normal 2 4 3 3 3 4 4" xfId="10155" xr:uid="{544D5969-2532-4610-A89A-C003B0C7B551}"/>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2579C862-1606-482E-8D50-A67E632A253C}"/>
    <cellStyle name="Normal 2 4 3 3 3 5 2 3" xfId="12713" xr:uid="{8BEEDA88-B8E6-42AC-A1EE-23C9F07E8DF4}"/>
    <cellStyle name="Normal 2 4 3 3 3 5 3" xfId="6347" xr:uid="{00000000-0005-0000-0000-000009100000}"/>
    <cellStyle name="Normal 2 4 3 3 3 5 3 2" xfId="14786" xr:uid="{6BA505F5-0213-48B0-B52E-7D0E7A820657}"/>
    <cellStyle name="Normal 2 4 3 3 3 5 4" xfId="10568" xr:uid="{9EDC364B-BD1F-48EC-9535-164C9CA61FB4}"/>
    <cellStyle name="Normal 2 4 3 3 3 6" xfId="2476" xr:uid="{00000000-0005-0000-0000-00000A100000}"/>
    <cellStyle name="Normal 2 4 3 3 3 6 2" xfId="6760" xr:uid="{00000000-0005-0000-0000-00000B100000}"/>
    <cellStyle name="Normal 2 4 3 3 3 6 2 2" xfId="15199" xr:uid="{DEB65CE5-C31F-43E9-A43F-48583BC469F3}"/>
    <cellStyle name="Normal 2 4 3 3 3 6 3" xfId="10981" xr:uid="{48EC304E-52E5-48E1-B91E-B339A0BD4855}"/>
    <cellStyle name="Normal 2 4 3 3 3 7" xfId="4694" xr:uid="{00000000-0005-0000-0000-00000C100000}"/>
    <cellStyle name="Normal 2 4 3 3 3 7 2" xfId="13133" xr:uid="{4517AC4C-8B80-4233-B057-0F25E56BFA78}"/>
    <cellStyle name="Normal 2 4 3 3 3 8" xfId="8915" xr:uid="{5C12EAE1-9328-4EB1-BDE8-E503C3D74CBF}"/>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1C1E7FE5-9FCB-4B09-8156-BCD684B07444}"/>
    <cellStyle name="Normal 2 4 3 3 4 2 3" xfId="11471" xr:uid="{00D43D2C-3EAF-4BA2-83CF-8725DB0DD11D}"/>
    <cellStyle name="Normal 2 4 3 3 4 3" xfId="5105" xr:uid="{00000000-0005-0000-0000-000010100000}"/>
    <cellStyle name="Normal 2 4 3 3 4 3 2" xfId="13544" xr:uid="{EC07B164-434D-40E5-BF2E-DFAE3BAC313E}"/>
    <cellStyle name="Normal 2 4 3 3 4 4" xfId="9326" xr:uid="{8A5BFE1A-A993-4DD9-8DD5-D6546D0F0179}"/>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D3EF0A9B-C706-4650-BB4E-4EF9DEC7C576}"/>
    <cellStyle name="Normal 2 4 3 3 5 2 3" xfId="11884" xr:uid="{BBB039B0-D533-4987-A141-3DF92C20D363}"/>
    <cellStyle name="Normal 2 4 3 3 5 3" xfId="5518" xr:uid="{00000000-0005-0000-0000-000014100000}"/>
    <cellStyle name="Normal 2 4 3 3 5 3 2" xfId="13957" xr:uid="{E71E10A3-43D1-41A4-8826-EE846D4A9DAE}"/>
    <cellStyle name="Normal 2 4 3 3 5 4" xfId="9739" xr:uid="{69C8D97A-0142-464A-9A8C-909A36F6FF90}"/>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71FD16B0-0406-402C-A7A4-54B948B82901}"/>
    <cellStyle name="Normal 2 4 3 3 6 2 3" xfId="12297" xr:uid="{ED3A0630-0A88-4767-A293-58030939301B}"/>
    <cellStyle name="Normal 2 4 3 3 6 3" xfId="5931" xr:uid="{00000000-0005-0000-0000-000018100000}"/>
    <cellStyle name="Normal 2 4 3 3 6 3 2" xfId="14370" xr:uid="{CFD0B4F6-23BC-4B7E-AC35-95FEAC3F973B}"/>
    <cellStyle name="Normal 2 4 3 3 6 4" xfId="10152" xr:uid="{0C2D252E-837A-407C-A6A2-A4E3D52951BE}"/>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5383EFAB-3A64-40A0-A996-05940EDBDF45}"/>
    <cellStyle name="Normal 2 4 3 3 7 2 3" xfId="12710" xr:uid="{4B7219A8-D442-4E10-9E58-0E9F84EAB0AD}"/>
    <cellStyle name="Normal 2 4 3 3 7 3" xfId="6344" xr:uid="{00000000-0005-0000-0000-00001C100000}"/>
    <cellStyle name="Normal 2 4 3 3 7 3 2" xfId="14783" xr:uid="{FC37BE14-0BE1-42CD-AB6D-3C1A0E982346}"/>
    <cellStyle name="Normal 2 4 3 3 7 4" xfId="10565" xr:uid="{3B9DB461-0D6B-4853-95C7-8196C8AC996C}"/>
    <cellStyle name="Normal 2 4 3 3 8" xfId="2473" xr:uid="{00000000-0005-0000-0000-00001D100000}"/>
    <cellStyle name="Normal 2 4 3 3 8 2" xfId="6757" xr:uid="{00000000-0005-0000-0000-00001E100000}"/>
    <cellStyle name="Normal 2 4 3 3 8 2 2" xfId="15196" xr:uid="{39686527-F015-485D-B30E-81ACF42B2EF5}"/>
    <cellStyle name="Normal 2 4 3 3 8 3" xfId="10978" xr:uid="{10465AC4-D97A-4793-B604-68CBEA85DDC4}"/>
    <cellStyle name="Normal 2 4 3 3 9" xfId="4691" xr:uid="{00000000-0005-0000-0000-00001F100000}"/>
    <cellStyle name="Normal 2 4 3 3 9 2" xfId="13130" xr:uid="{F45A657E-4D46-4A55-B860-35480123DCBA}"/>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7A0B003D-46F8-41F3-8EED-704A84ABEF32}"/>
    <cellStyle name="Normal 2 4 3 4 2 3" xfId="11470" xr:uid="{6306BF93-E79F-4EBA-8B51-44C43B0C75C5}"/>
    <cellStyle name="Normal 2 4 3 4 3" xfId="5104" xr:uid="{00000000-0005-0000-0000-000023100000}"/>
    <cellStyle name="Normal 2 4 3 4 3 2" xfId="13543" xr:uid="{61E3E327-3DF9-4A34-B4DF-1282F754ABB6}"/>
    <cellStyle name="Normal 2 4 3 4 4" xfId="9325" xr:uid="{49C42246-18A5-4491-96F8-106E09ACDB6A}"/>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584845D6-C293-4AB9-9070-A29E5BD88ADF}"/>
    <cellStyle name="Normal 2 4 3 5 2 3" xfId="11883" xr:uid="{E58D0584-5B3B-4759-9012-257181B59659}"/>
    <cellStyle name="Normal 2 4 3 5 3" xfId="5517" xr:uid="{00000000-0005-0000-0000-000027100000}"/>
    <cellStyle name="Normal 2 4 3 5 3 2" xfId="13956" xr:uid="{7A8C4A81-30AF-4B7F-910F-F4B1C5FA155C}"/>
    <cellStyle name="Normal 2 4 3 5 4" xfId="9738" xr:uid="{D129D2E5-7C56-48AB-9951-BB04BF35C3EF}"/>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F9EE0B30-5F22-469C-B354-355DB71E049C}"/>
    <cellStyle name="Normal 2 4 3 6 2 3" xfId="12296" xr:uid="{F11C15AC-8B16-4975-9BD3-436849F1C5C6}"/>
    <cellStyle name="Normal 2 4 3 6 3" xfId="5930" xr:uid="{00000000-0005-0000-0000-00002B100000}"/>
    <cellStyle name="Normal 2 4 3 6 3 2" xfId="14369" xr:uid="{B55458A8-CEA7-4774-94E3-EF3ED1AAF177}"/>
    <cellStyle name="Normal 2 4 3 6 4" xfId="10151" xr:uid="{06B01B29-2E83-4EC3-AE03-686CD9223198}"/>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06410E20-E94F-42BC-B4C8-4CF58EDCB294}"/>
    <cellStyle name="Normal 2 4 3 7 2 3" xfId="12709" xr:uid="{E0CFD083-D754-4D11-A1C1-6014920037CF}"/>
    <cellStyle name="Normal 2 4 3 7 3" xfId="6343" xr:uid="{00000000-0005-0000-0000-00002F100000}"/>
    <cellStyle name="Normal 2 4 3 7 3 2" xfId="14782" xr:uid="{64055014-9A11-4451-B927-943D615289B6}"/>
    <cellStyle name="Normal 2 4 3 7 4" xfId="10564" xr:uid="{656B1BC2-897E-45FC-924E-EC4D66890D03}"/>
    <cellStyle name="Normal 2 4 3 8" xfId="2472" xr:uid="{00000000-0005-0000-0000-000030100000}"/>
    <cellStyle name="Normal 2 4 3 8 2" xfId="6756" xr:uid="{00000000-0005-0000-0000-000031100000}"/>
    <cellStyle name="Normal 2 4 3 8 2 2" xfId="15195" xr:uid="{57630FA0-F3C9-4CE6-A28D-1BFEE58228CA}"/>
    <cellStyle name="Normal 2 4 3 8 3" xfId="10977" xr:uid="{4168EEA4-B80B-4C29-9014-EBF30CE18C9F}"/>
    <cellStyle name="Normal 2 4 3 9" xfId="4690" xr:uid="{00000000-0005-0000-0000-000032100000}"/>
    <cellStyle name="Normal 2 4 3 9 2" xfId="13129" xr:uid="{6E90ABEB-2A88-4720-B28A-718BBB31AB5D}"/>
    <cellStyle name="Normal 2 4 4" xfId="302" xr:uid="{00000000-0005-0000-0000-000033100000}"/>
    <cellStyle name="Normal 2 4 5" xfId="303" xr:uid="{00000000-0005-0000-0000-000034100000}"/>
    <cellStyle name="Normal 2 4 5 10" xfId="4695" xr:uid="{00000000-0005-0000-0000-000035100000}"/>
    <cellStyle name="Normal 2 4 5 10 2" xfId="13134" xr:uid="{0D7CCFDB-0130-4980-A40A-506991CD3607}"/>
    <cellStyle name="Normal 2 4 5 11" xfId="8916" xr:uid="{6BC9C653-27AF-4591-ABEF-C36D19D55D99}"/>
    <cellStyle name="Normal 2 4 5 2" xfId="304" xr:uid="{00000000-0005-0000-0000-000036100000}"/>
    <cellStyle name="Normal 2 4 5 2 10" xfId="8917" xr:uid="{EF21C9B8-7387-4652-BBF6-45201F492BC9}"/>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8104C0EF-4ACA-4C03-995C-84208A6A976D}"/>
    <cellStyle name="Normal 2 4 5 2 2 2 2 2 3" xfId="11478" xr:uid="{AF07A13C-186C-469B-896C-722CC24E6B50}"/>
    <cellStyle name="Normal 2 4 5 2 2 2 2 3" xfId="5112" xr:uid="{00000000-0005-0000-0000-00003C100000}"/>
    <cellStyle name="Normal 2 4 5 2 2 2 2 3 2" xfId="13551" xr:uid="{8C216711-F961-46B0-A2DB-D3D00AE42EA5}"/>
    <cellStyle name="Normal 2 4 5 2 2 2 2 4" xfId="9333" xr:uid="{EF459FF8-4273-423F-8DE1-7BDED12E535D}"/>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956F461D-5560-4F8D-912B-13E496E8F6EA}"/>
    <cellStyle name="Normal 2 4 5 2 2 2 3 2 3" xfId="11891" xr:uid="{7F6921DE-8633-4160-B808-054753A2D4A5}"/>
    <cellStyle name="Normal 2 4 5 2 2 2 3 3" xfId="5525" xr:uid="{00000000-0005-0000-0000-000040100000}"/>
    <cellStyle name="Normal 2 4 5 2 2 2 3 3 2" xfId="13964" xr:uid="{0416243B-C113-4D18-8C89-17F54C58E94F}"/>
    <cellStyle name="Normal 2 4 5 2 2 2 3 4" xfId="9746" xr:uid="{A619AAAF-5C5A-4AB1-9584-35A05C2D4274}"/>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EFB16D5A-3A3C-40F9-9F6F-97B63C7AF6F0}"/>
    <cellStyle name="Normal 2 4 5 2 2 2 4 2 3" xfId="12304" xr:uid="{54E57CD7-B9A5-410B-B2D2-993CAB57DDFE}"/>
    <cellStyle name="Normal 2 4 5 2 2 2 4 3" xfId="5938" xr:uid="{00000000-0005-0000-0000-000044100000}"/>
    <cellStyle name="Normal 2 4 5 2 2 2 4 3 2" xfId="14377" xr:uid="{A30AA66E-5972-4B11-AE0C-522AEA23FAA5}"/>
    <cellStyle name="Normal 2 4 5 2 2 2 4 4" xfId="10159" xr:uid="{E42CA9B3-286F-4827-B4FA-584AC3B836D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D878670A-0B2B-4DFF-BB0A-C51B898950A7}"/>
    <cellStyle name="Normal 2 4 5 2 2 2 5 2 3" xfId="12717" xr:uid="{7CE93451-3598-425E-92AF-3439B34F5BB4}"/>
    <cellStyle name="Normal 2 4 5 2 2 2 5 3" xfId="6351" xr:uid="{00000000-0005-0000-0000-000048100000}"/>
    <cellStyle name="Normal 2 4 5 2 2 2 5 3 2" xfId="14790" xr:uid="{FFC0954E-A855-4315-80E6-89D110180748}"/>
    <cellStyle name="Normal 2 4 5 2 2 2 5 4" xfId="10572" xr:uid="{6A2EA81C-F570-47A0-823E-73D51D994CEA}"/>
    <cellStyle name="Normal 2 4 5 2 2 2 6" xfId="2480" xr:uid="{00000000-0005-0000-0000-000049100000}"/>
    <cellStyle name="Normal 2 4 5 2 2 2 6 2" xfId="6764" xr:uid="{00000000-0005-0000-0000-00004A100000}"/>
    <cellStyle name="Normal 2 4 5 2 2 2 6 2 2" xfId="15203" xr:uid="{8CF7A5C6-C2BD-4766-9462-41E1C0CF3D5F}"/>
    <cellStyle name="Normal 2 4 5 2 2 2 6 3" xfId="10985" xr:uid="{D5C13989-1CAC-448A-94BB-CB587222A423}"/>
    <cellStyle name="Normal 2 4 5 2 2 2 7" xfId="4698" xr:uid="{00000000-0005-0000-0000-00004B100000}"/>
    <cellStyle name="Normal 2 4 5 2 2 2 7 2" xfId="13137" xr:uid="{FAB05002-6163-4A5D-B7DB-4466720233FB}"/>
    <cellStyle name="Normal 2 4 5 2 2 2 8" xfId="8919" xr:uid="{61364A8C-1FDB-47B0-B965-E7CE538A4EDB}"/>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68FFBDA0-B814-4609-AAB5-6E96558DFAFB}"/>
    <cellStyle name="Normal 2 4 5 2 2 3 2 3" xfId="11477" xr:uid="{8F9C0856-180A-4EEF-A4D0-87D7F57C39E4}"/>
    <cellStyle name="Normal 2 4 5 2 2 3 3" xfId="5111" xr:uid="{00000000-0005-0000-0000-00004F100000}"/>
    <cellStyle name="Normal 2 4 5 2 2 3 3 2" xfId="13550" xr:uid="{CF830567-C37E-459D-B174-4E6651DC9910}"/>
    <cellStyle name="Normal 2 4 5 2 2 3 4" xfId="9332" xr:uid="{76CE89D4-BF65-4AB8-A858-1DA334A2A56D}"/>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484C9C6D-5603-42D4-BACF-EA5B7E0667F0}"/>
    <cellStyle name="Normal 2 4 5 2 2 4 2 3" xfId="11890" xr:uid="{353F31CA-26DE-4F89-9F00-97586B7BA494}"/>
    <cellStyle name="Normal 2 4 5 2 2 4 3" xfId="5524" xr:uid="{00000000-0005-0000-0000-000053100000}"/>
    <cellStyle name="Normal 2 4 5 2 2 4 3 2" xfId="13963" xr:uid="{DA47F51F-F355-4DF6-9A2F-5502B7C46F30}"/>
    <cellStyle name="Normal 2 4 5 2 2 4 4" xfId="9745" xr:uid="{A574C4C1-96BD-4D91-95F1-0C5F17C65D4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0CD8617C-57D0-479D-BD3F-F248C3FBA239}"/>
    <cellStyle name="Normal 2 4 5 2 2 5 2 3" xfId="12303" xr:uid="{DA9806C9-A90C-4BEF-9352-629840FEE9D2}"/>
    <cellStyle name="Normal 2 4 5 2 2 5 3" xfId="5937" xr:uid="{00000000-0005-0000-0000-000057100000}"/>
    <cellStyle name="Normal 2 4 5 2 2 5 3 2" xfId="14376" xr:uid="{C5073B21-9073-408E-80AF-F03550F3478E}"/>
    <cellStyle name="Normal 2 4 5 2 2 5 4" xfId="10158" xr:uid="{843909D1-4C12-4351-9C96-FAC8987E9EE5}"/>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767EFB41-E0DF-4382-8351-8C7944DDF255}"/>
    <cellStyle name="Normal 2 4 5 2 2 6 2 3" xfId="12716" xr:uid="{2D5B5318-2226-43DE-8F68-BCEF41A5FE1D}"/>
    <cellStyle name="Normal 2 4 5 2 2 6 3" xfId="6350" xr:uid="{00000000-0005-0000-0000-00005B100000}"/>
    <cellStyle name="Normal 2 4 5 2 2 6 3 2" xfId="14789" xr:uid="{0CAE1605-F468-440E-951B-C380FC790D44}"/>
    <cellStyle name="Normal 2 4 5 2 2 6 4" xfId="10571" xr:uid="{B8DAF35E-ED88-45F8-B759-D20AFBAF7EA4}"/>
    <cellStyle name="Normal 2 4 5 2 2 7" xfId="2479" xr:uid="{00000000-0005-0000-0000-00005C100000}"/>
    <cellStyle name="Normal 2 4 5 2 2 7 2" xfId="6763" xr:uid="{00000000-0005-0000-0000-00005D100000}"/>
    <cellStyle name="Normal 2 4 5 2 2 7 2 2" xfId="15202" xr:uid="{DC8F40B0-2C16-443B-90ED-74C9FC29D14F}"/>
    <cellStyle name="Normal 2 4 5 2 2 7 3" xfId="10984" xr:uid="{3C7E606C-A7EF-4CF8-8920-88BAE750E4EF}"/>
    <cellStyle name="Normal 2 4 5 2 2 8" xfId="4697" xr:uid="{00000000-0005-0000-0000-00005E100000}"/>
    <cellStyle name="Normal 2 4 5 2 2 8 2" xfId="13136" xr:uid="{33EED24F-7EC3-4F18-A98B-1A770A4F193A}"/>
    <cellStyle name="Normal 2 4 5 2 2 9" xfId="8918" xr:uid="{C9D0E5EE-77D3-47E7-B952-A4F1EB5FCEA1}"/>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2794D128-3F1B-48F0-84C9-350BAD607588}"/>
    <cellStyle name="Normal 2 4 5 2 3 2 2 3" xfId="11479" xr:uid="{5B5EE5D7-65FA-4826-AE6E-8028EF82ECFE}"/>
    <cellStyle name="Normal 2 4 5 2 3 2 3" xfId="5113" xr:uid="{00000000-0005-0000-0000-000063100000}"/>
    <cellStyle name="Normal 2 4 5 2 3 2 3 2" xfId="13552" xr:uid="{5924AB8F-F6D1-4357-8C3B-BDE1FE8EAA09}"/>
    <cellStyle name="Normal 2 4 5 2 3 2 4" xfId="9334" xr:uid="{2B585840-1800-4BF2-A6C8-323C781BBA73}"/>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6019DFE8-C87C-4DDD-BE25-0189058A5A96}"/>
    <cellStyle name="Normal 2 4 5 2 3 3 2 3" xfId="11892" xr:uid="{BDF4D286-FF01-4BAB-A030-9B24F1401880}"/>
    <cellStyle name="Normal 2 4 5 2 3 3 3" xfId="5526" xr:uid="{00000000-0005-0000-0000-000067100000}"/>
    <cellStyle name="Normal 2 4 5 2 3 3 3 2" xfId="13965" xr:uid="{DB770727-C8E2-4243-86D2-E68823180F14}"/>
    <cellStyle name="Normal 2 4 5 2 3 3 4" xfId="9747" xr:uid="{BCB90337-7121-4062-8C61-9A5587B4D829}"/>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69DF6763-3410-4791-9E44-C0F79E3BED4D}"/>
    <cellStyle name="Normal 2 4 5 2 3 4 2 3" xfId="12305" xr:uid="{BDF24C98-B18D-45E3-83B4-BC48A32A2544}"/>
    <cellStyle name="Normal 2 4 5 2 3 4 3" xfId="5939" xr:uid="{00000000-0005-0000-0000-00006B100000}"/>
    <cellStyle name="Normal 2 4 5 2 3 4 3 2" xfId="14378" xr:uid="{D3A33965-FFF6-4FE9-A777-4BEB5C3319BC}"/>
    <cellStyle name="Normal 2 4 5 2 3 4 4" xfId="10160" xr:uid="{D1803C36-004E-44D2-A8B7-83BCEA9440DC}"/>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216016A4-7A43-4C1E-A24B-697237CF57DD}"/>
    <cellStyle name="Normal 2 4 5 2 3 5 2 3" xfId="12718" xr:uid="{DA5236CF-1DCC-4CC5-97AF-590BA8653BD3}"/>
    <cellStyle name="Normal 2 4 5 2 3 5 3" xfId="6352" xr:uid="{00000000-0005-0000-0000-00006F100000}"/>
    <cellStyle name="Normal 2 4 5 2 3 5 3 2" xfId="14791" xr:uid="{F3D68DB3-99C4-4AEE-939B-5F406C5864DB}"/>
    <cellStyle name="Normal 2 4 5 2 3 5 4" xfId="10573" xr:uid="{53359399-5E99-4340-81E6-6B7CFACC5EDD}"/>
    <cellStyle name="Normal 2 4 5 2 3 6" xfId="2481" xr:uid="{00000000-0005-0000-0000-000070100000}"/>
    <cellStyle name="Normal 2 4 5 2 3 6 2" xfId="6765" xr:uid="{00000000-0005-0000-0000-000071100000}"/>
    <cellStyle name="Normal 2 4 5 2 3 6 2 2" xfId="15204" xr:uid="{41E1B853-459A-4033-8B78-96FBE42D3ED1}"/>
    <cellStyle name="Normal 2 4 5 2 3 6 3" xfId="10986" xr:uid="{5A68C6D7-FD71-42B2-A863-6CA71B031730}"/>
    <cellStyle name="Normal 2 4 5 2 3 7" xfId="4699" xr:uid="{00000000-0005-0000-0000-000072100000}"/>
    <cellStyle name="Normal 2 4 5 2 3 7 2" xfId="13138" xr:uid="{91C7F086-61DF-400F-ADAF-0CF853A8C408}"/>
    <cellStyle name="Normal 2 4 5 2 3 8" xfId="8920" xr:uid="{DCEB9C7B-40FD-4A8F-AD2D-6789BC134FA8}"/>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45C00BA5-89CD-4DBC-8E9C-396C415EBAE0}"/>
    <cellStyle name="Normal 2 4 5 2 4 2 3" xfId="11476" xr:uid="{21F03DC4-2A68-4D3A-AEA9-34CCD9361C41}"/>
    <cellStyle name="Normal 2 4 5 2 4 3" xfId="5110" xr:uid="{00000000-0005-0000-0000-000076100000}"/>
    <cellStyle name="Normal 2 4 5 2 4 3 2" xfId="13549" xr:uid="{B6F446CE-7F1E-463D-B892-3CB27D0960D5}"/>
    <cellStyle name="Normal 2 4 5 2 4 4" xfId="9331" xr:uid="{B9FF00AD-66BE-4C9A-8C3E-90D0E1F9DA2C}"/>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ACAB3BD9-B89B-4B32-9CBA-5C972C8E04C9}"/>
    <cellStyle name="Normal 2 4 5 2 5 2 3" xfId="11889" xr:uid="{A5F90F6C-A64B-40F4-93D7-43BE0D7B6840}"/>
    <cellStyle name="Normal 2 4 5 2 5 3" xfId="5523" xr:uid="{00000000-0005-0000-0000-00007A100000}"/>
    <cellStyle name="Normal 2 4 5 2 5 3 2" xfId="13962" xr:uid="{D701F284-8445-49BA-A58B-76B553F4E72C}"/>
    <cellStyle name="Normal 2 4 5 2 5 4" xfId="9744" xr:uid="{4F06D97B-F479-4DD3-80EE-883954655001}"/>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B1CF81ED-1228-41D5-AE65-45EA008D57DD}"/>
    <cellStyle name="Normal 2 4 5 2 6 2 3" xfId="12302" xr:uid="{DB1B87DA-4131-4E66-B57A-90FF040E00BF}"/>
    <cellStyle name="Normal 2 4 5 2 6 3" xfId="5936" xr:uid="{00000000-0005-0000-0000-00007E100000}"/>
    <cellStyle name="Normal 2 4 5 2 6 3 2" xfId="14375" xr:uid="{AC8116D9-EF7E-4C5F-A7DE-A8C8A9EA4476}"/>
    <cellStyle name="Normal 2 4 5 2 6 4" xfId="10157" xr:uid="{D5AE1FB6-A5B5-4BE3-A00C-33196F4E63F3}"/>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F7AEBACB-496A-4D0B-B96B-850CD31E6634}"/>
    <cellStyle name="Normal 2 4 5 2 7 2 3" xfId="12715" xr:uid="{D4DC4945-F612-4682-A97D-411DF7CAF62F}"/>
    <cellStyle name="Normal 2 4 5 2 7 3" xfId="6349" xr:uid="{00000000-0005-0000-0000-000082100000}"/>
    <cellStyle name="Normal 2 4 5 2 7 3 2" xfId="14788" xr:uid="{5B746132-4CD6-418A-870F-292545E492DF}"/>
    <cellStyle name="Normal 2 4 5 2 7 4" xfId="10570" xr:uid="{9C4F6605-CACD-4315-8720-5C43EE23547E}"/>
    <cellStyle name="Normal 2 4 5 2 8" xfId="2478" xr:uid="{00000000-0005-0000-0000-000083100000}"/>
    <cellStyle name="Normal 2 4 5 2 8 2" xfId="6762" xr:uid="{00000000-0005-0000-0000-000084100000}"/>
    <cellStyle name="Normal 2 4 5 2 8 2 2" xfId="15201" xr:uid="{E9821C2D-EA46-45F0-834F-D52208A1CBAB}"/>
    <cellStyle name="Normal 2 4 5 2 8 3" xfId="10983" xr:uid="{D9D83D7D-5129-4577-83A2-6FC914019CFC}"/>
    <cellStyle name="Normal 2 4 5 2 9" xfId="4696" xr:uid="{00000000-0005-0000-0000-000085100000}"/>
    <cellStyle name="Normal 2 4 5 2 9 2" xfId="13135" xr:uid="{A974947C-D725-4B70-B51D-8DB6B3A21AAA}"/>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B6253BAE-4E1C-401A-82C6-13F537B1CC6F}"/>
    <cellStyle name="Normal 2 4 5 3 2 2 2 3" xfId="11481" xr:uid="{447F8E15-27AB-4E5D-B072-4EA701400F8F}"/>
    <cellStyle name="Normal 2 4 5 3 2 2 3" xfId="5115" xr:uid="{00000000-0005-0000-0000-00008B100000}"/>
    <cellStyle name="Normal 2 4 5 3 2 2 3 2" xfId="13554" xr:uid="{19EEE8F8-9AFC-4328-A70E-66ABF77AFFF5}"/>
    <cellStyle name="Normal 2 4 5 3 2 2 4" xfId="9336" xr:uid="{DF3C27E8-D9EB-449E-A35F-F801556D0A5C}"/>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7C150576-E177-439F-8FA9-088A944A91A0}"/>
    <cellStyle name="Normal 2 4 5 3 2 3 2 3" xfId="11894" xr:uid="{0C52EC76-8F1D-466A-9CFF-CF933B88C0B5}"/>
    <cellStyle name="Normal 2 4 5 3 2 3 3" xfId="5528" xr:uid="{00000000-0005-0000-0000-00008F100000}"/>
    <cellStyle name="Normal 2 4 5 3 2 3 3 2" xfId="13967" xr:uid="{F9619DB2-B922-4104-AED2-809FEA0DB96D}"/>
    <cellStyle name="Normal 2 4 5 3 2 3 4" xfId="9749" xr:uid="{55EBA2E1-B3EC-4B1F-BBB8-17898F9A299B}"/>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C7B1F424-7EF8-4E03-82D6-08BBF39A473B}"/>
    <cellStyle name="Normal 2 4 5 3 2 4 2 3" xfId="12307" xr:uid="{F7C48CBE-2DD3-496D-8B03-45EBA70A513A}"/>
    <cellStyle name="Normal 2 4 5 3 2 4 3" xfId="5941" xr:uid="{00000000-0005-0000-0000-000093100000}"/>
    <cellStyle name="Normal 2 4 5 3 2 4 3 2" xfId="14380" xr:uid="{5D6AE52C-6049-49E4-AA7B-8FCA2F0A1B98}"/>
    <cellStyle name="Normal 2 4 5 3 2 4 4" xfId="10162" xr:uid="{648455B8-7FC7-4678-B1BD-47B21C0E3B3E}"/>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C4B509D0-8EF0-43E8-9CBC-32769CB3F740}"/>
    <cellStyle name="Normal 2 4 5 3 2 5 2 3" xfId="12720" xr:uid="{CC5E0978-5EFD-4488-B88D-9F6F019EBFF2}"/>
    <cellStyle name="Normal 2 4 5 3 2 5 3" xfId="6354" xr:uid="{00000000-0005-0000-0000-000097100000}"/>
    <cellStyle name="Normal 2 4 5 3 2 5 3 2" xfId="14793" xr:uid="{653520EE-B196-4368-952D-A1417FA140BE}"/>
    <cellStyle name="Normal 2 4 5 3 2 5 4" xfId="10575" xr:uid="{B988570E-69D2-4C3E-962D-DBF585C0C433}"/>
    <cellStyle name="Normal 2 4 5 3 2 6" xfId="2483" xr:uid="{00000000-0005-0000-0000-000098100000}"/>
    <cellStyle name="Normal 2 4 5 3 2 6 2" xfId="6767" xr:uid="{00000000-0005-0000-0000-000099100000}"/>
    <cellStyle name="Normal 2 4 5 3 2 6 2 2" xfId="15206" xr:uid="{69D31481-51E5-4052-909C-BE2709A1F503}"/>
    <cellStyle name="Normal 2 4 5 3 2 6 3" xfId="10988" xr:uid="{A7D0D2DE-92C9-48A2-8F67-4FDBC63E0FC7}"/>
    <cellStyle name="Normal 2 4 5 3 2 7" xfId="4701" xr:uid="{00000000-0005-0000-0000-00009A100000}"/>
    <cellStyle name="Normal 2 4 5 3 2 7 2" xfId="13140" xr:uid="{69763F9F-5851-423B-B5E5-AB1D9C7C9855}"/>
    <cellStyle name="Normal 2 4 5 3 2 8" xfId="8922" xr:uid="{0282A38B-B562-4407-8953-FA9E8ABFFE28}"/>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3D02B844-C3F8-4682-847C-7D549985380B}"/>
    <cellStyle name="Normal 2 4 5 3 3 2 3" xfId="11480" xr:uid="{A9C250A2-4DCC-4719-B161-5F839799346E}"/>
    <cellStyle name="Normal 2 4 5 3 3 3" xfId="5114" xr:uid="{00000000-0005-0000-0000-00009E100000}"/>
    <cellStyle name="Normal 2 4 5 3 3 3 2" xfId="13553" xr:uid="{F2B74893-7782-44EA-9447-B8C42623B9CF}"/>
    <cellStyle name="Normal 2 4 5 3 3 4" xfId="9335" xr:uid="{1FC26EEA-B2E2-42DD-9692-076EF2D18F0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35F6D7C1-150F-438D-8536-C2E7A9690950}"/>
    <cellStyle name="Normal 2 4 5 3 4 2 3" xfId="11893" xr:uid="{BB527E1F-5E32-47D7-996A-71CE63B61ACC}"/>
    <cellStyle name="Normal 2 4 5 3 4 3" xfId="5527" xr:uid="{00000000-0005-0000-0000-0000A2100000}"/>
    <cellStyle name="Normal 2 4 5 3 4 3 2" xfId="13966" xr:uid="{DE9265CF-C27A-417A-8624-A365DE8F5C39}"/>
    <cellStyle name="Normal 2 4 5 3 4 4" xfId="9748" xr:uid="{037B7FDE-E106-409C-828A-2825F7AC962B}"/>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C2516AFB-798F-4D6D-8FEC-D66005D477ED}"/>
    <cellStyle name="Normal 2 4 5 3 5 2 3" xfId="12306" xr:uid="{F3A2200F-D97F-49CE-9992-3998282BE272}"/>
    <cellStyle name="Normal 2 4 5 3 5 3" xfId="5940" xr:uid="{00000000-0005-0000-0000-0000A6100000}"/>
    <cellStyle name="Normal 2 4 5 3 5 3 2" xfId="14379" xr:uid="{AF0D1E09-C24E-4E3E-9F5D-0DCA96465CF8}"/>
    <cellStyle name="Normal 2 4 5 3 5 4" xfId="10161" xr:uid="{F392E500-A889-4EA0-B101-3DE33C7A2AE3}"/>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3C5CE909-8C68-4B34-A877-82EE46102AB8}"/>
    <cellStyle name="Normal 2 4 5 3 6 2 3" xfId="12719" xr:uid="{83B9764D-55B3-4CD1-9E6C-4E4EC2B3A133}"/>
    <cellStyle name="Normal 2 4 5 3 6 3" xfId="6353" xr:uid="{00000000-0005-0000-0000-0000AA100000}"/>
    <cellStyle name="Normal 2 4 5 3 6 3 2" xfId="14792" xr:uid="{E385D437-E852-46BA-9EE9-0705BE5F6A3B}"/>
    <cellStyle name="Normal 2 4 5 3 6 4" xfId="10574" xr:uid="{CDE0C7D8-33F4-4A94-922D-455BCE948472}"/>
    <cellStyle name="Normal 2 4 5 3 7" xfId="2482" xr:uid="{00000000-0005-0000-0000-0000AB100000}"/>
    <cellStyle name="Normal 2 4 5 3 7 2" xfId="6766" xr:uid="{00000000-0005-0000-0000-0000AC100000}"/>
    <cellStyle name="Normal 2 4 5 3 7 2 2" xfId="15205" xr:uid="{1D414C22-CAE1-4401-A4F8-0673F3BF27FA}"/>
    <cellStyle name="Normal 2 4 5 3 7 3" xfId="10987" xr:uid="{425F5657-46CD-4223-AD15-B2040F6D8626}"/>
    <cellStyle name="Normal 2 4 5 3 8" xfId="4700" xr:uid="{00000000-0005-0000-0000-0000AD100000}"/>
    <cellStyle name="Normal 2 4 5 3 8 2" xfId="13139" xr:uid="{61D45B8F-08BD-4B5D-9273-5A9706259114}"/>
    <cellStyle name="Normal 2 4 5 3 9" xfId="8921" xr:uid="{717193E3-03D3-4EFD-A657-C0F869AB6A6D}"/>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D3D63AEE-5644-4B88-9A32-17730D57EE7A}"/>
    <cellStyle name="Normal 2 4 5 4 2 2 3" xfId="11482" xr:uid="{B262A6A0-E763-44FC-BB9C-96665A869E33}"/>
    <cellStyle name="Normal 2 4 5 4 2 3" xfId="5116" xr:uid="{00000000-0005-0000-0000-0000B2100000}"/>
    <cellStyle name="Normal 2 4 5 4 2 3 2" xfId="13555" xr:uid="{E2862B75-9F89-4F77-B210-C5D1F09C00CB}"/>
    <cellStyle name="Normal 2 4 5 4 2 4" xfId="9337" xr:uid="{2346A626-938C-4435-96B7-242628BB9174}"/>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9D07A4D6-9A4C-47F2-B3CE-C22ECA67DDAA}"/>
    <cellStyle name="Normal 2 4 5 4 3 2 3" xfId="11895" xr:uid="{321216D1-5EC5-41E1-A5D9-E121AAE6D3FE}"/>
    <cellStyle name="Normal 2 4 5 4 3 3" xfId="5529" xr:uid="{00000000-0005-0000-0000-0000B6100000}"/>
    <cellStyle name="Normal 2 4 5 4 3 3 2" xfId="13968" xr:uid="{97195514-DCD9-4F2C-A954-2B8EEFA85E3A}"/>
    <cellStyle name="Normal 2 4 5 4 3 4" xfId="9750" xr:uid="{8E921015-6EF3-47DD-8787-BD1C6667695B}"/>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E81516AA-64F3-40B5-951A-E30F3BDE1952}"/>
    <cellStyle name="Normal 2 4 5 4 4 2 3" xfId="12308" xr:uid="{AA1AF9DA-C8C6-452F-9291-8BB86E0E8BBB}"/>
    <cellStyle name="Normal 2 4 5 4 4 3" xfId="5942" xr:uid="{00000000-0005-0000-0000-0000BA100000}"/>
    <cellStyle name="Normal 2 4 5 4 4 3 2" xfId="14381" xr:uid="{1FF3A0D8-835E-4493-8CE2-D44380F7A10C}"/>
    <cellStyle name="Normal 2 4 5 4 4 4" xfId="10163" xr:uid="{23261E2C-53CE-4B08-82B8-C92FBBBAE9A1}"/>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3693E31F-7526-41C9-939F-8B6BA1247AC8}"/>
    <cellStyle name="Normal 2 4 5 4 5 2 3" xfId="12721" xr:uid="{E6C5BE3A-F4E2-403B-80EE-376503DD0DA4}"/>
    <cellStyle name="Normal 2 4 5 4 5 3" xfId="6355" xr:uid="{00000000-0005-0000-0000-0000BE100000}"/>
    <cellStyle name="Normal 2 4 5 4 5 3 2" xfId="14794" xr:uid="{2FF26336-AF7F-4A16-86AF-827812F664C5}"/>
    <cellStyle name="Normal 2 4 5 4 5 4" xfId="10576" xr:uid="{3F94F3E3-33E8-4616-BC22-7D26EF663317}"/>
    <cellStyle name="Normal 2 4 5 4 6" xfId="2484" xr:uid="{00000000-0005-0000-0000-0000BF100000}"/>
    <cellStyle name="Normal 2 4 5 4 6 2" xfId="6768" xr:uid="{00000000-0005-0000-0000-0000C0100000}"/>
    <cellStyle name="Normal 2 4 5 4 6 2 2" xfId="15207" xr:uid="{A68FBFA3-B75B-48C5-85A2-E9C1D318825E}"/>
    <cellStyle name="Normal 2 4 5 4 6 3" xfId="10989" xr:uid="{8D0E51C4-F81F-42F7-AA92-FE589317E6D1}"/>
    <cellStyle name="Normal 2 4 5 4 7" xfId="4702" xr:uid="{00000000-0005-0000-0000-0000C1100000}"/>
    <cellStyle name="Normal 2 4 5 4 7 2" xfId="13141" xr:uid="{1A09796C-BEF7-4786-AD64-4D942762630F}"/>
    <cellStyle name="Normal 2 4 5 4 8" xfId="8923" xr:uid="{24037A06-3EFA-4787-88CB-BF527749E13B}"/>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DB9427F7-DC95-4E43-BAE3-363964F750C7}"/>
    <cellStyle name="Normal 2 4 5 5 2 3" xfId="11475" xr:uid="{BB291F1F-4A64-4B4A-B9A3-FF9E1067333D}"/>
    <cellStyle name="Normal 2 4 5 5 3" xfId="5109" xr:uid="{00000000-0005-0000-0000-0000C5100000}"/>
    <cellStyle name="Normal 2 4 5 5 3 2" xfId="13548" xr:uid="{3FD94EC1-239E-4769-967A-8D71316A5422}"/>
    <cellStyle name="Normal 2 4 5 5 4" xfId="9330" xr:uid="{FEC78A76-0C9C-4383-BED5-4B5D945F00B2}"/>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672247A1-EE9E-4BF3-8782-78814ED700E3}"/>
    <cellStyle name="Normal 2 4 5 6 2 3" xfId="11888" xr:uid="{AB81C835-26CE-4B6D-B308-F733F025434F}"/>
    <cellStyle name="Normal 2 4 5 6 3" xfId="5522" xr:uid="{00000000-0005-0000-0000-0000C9100000}"/>
    <cellStyle name="Normal 2 4 5 6 3 2" xfId="13961" xr:uid="{0313F564-178D-4428-9833-3CFCA45DE585}"/>
    <cellStyle name="Normal 2 4 5 6 4" xfId="9743" xr:uid="{C61CA543-5946-49FD-BCF8-032D82E6D59F}"/>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2F6BD658-A657-49EF-A9E3-07133C1D2A6E}"/>
    <cellStyle name="Normal 2 4 5 7 2 3" xfId="12301" xr:uid="{AA94420D-96E7-4671-8C04-1BCB1876ABE0}"/>
    <cellStyle name="Normal 2 4 5 7 3" xfId="5935" xr:uid="{00000000-0005-0000-0000-0000CD100000}"/>
    <cellStyle name="Normal 2 4 5 7 3 2" xfId="14374" xr:uid="{BA043702-AE9F-438E-9A2C-9736E48CF0A3}"/>
    <cellStyle name="Normal 2 4 5 7 4" xfId="10156" xr:uid="{1877D854-5F0C-4520-98E7-69412AFBCC5A}"/>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C6AF2B71-2382-4CF9-94E6-C29723673E1F}"/>
    <cellStyle name="Normal 2 4 5 8 2 3" xfId="12714" xr:uid="{627D55B5-9BB9-4604-A542-3541231B6936}"/>
    <cellStyle name="Normal 2 4 5 8 3" xfId="6348" xr:uid="{00000000-0005-0000-0000-0000D1100000}"/>
    <cellStyle name="Normal 2 4 5 8 3 2" xfId="14787" xr:uid="{4E5AB3AA-E330-499C-B4BE-CB8E6A272263}"/>
    <cellStyle name="Normal 2 4 5 8 4" xfId="10569" xr:uid="{0612C4BD-BFBD-437D-97A2-8953CE085B5D}"/>
    <cellStyle name="Normal 2 4 5 9" xfId="2477" xr:uid="{00000000-0005-0000-0000-0000D2100000}"/>
    <cellStyle name="Normal 2 4 5 9 2" xfId="6761" xr:uid="{00000000-0005-0000-0000-0000D3100000}"/>
    <cellStyle name="Normal 2 4 5 9 2 2" xfId="15200" xr:uid="{2822E6E5-E088-404E-B137-5C010D70F403}"/>
    <cellStyle name="Normal 2 4 5 9 3" xfId="10982" xr:uid="{B4F78873-2AFF-4CF2-876B-421C84E62F0A}"/>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CC47001B-4EDE-4C53-865D-E38C52869BE3}"/>
    <cellStyle name="Normal 2 4 7 2 2 2 3" xfId="11484" xr:uid="{3B62F13B-772D-48B8-9F2B-3116EC9C6302}"/>
    <cellStyle name="Normal 2 4 7 2 2 3" xfId="5118" xr:uid="{00000000-0005-0000-0000-0000DA100000}"/>
    <cellStyle name="Normal 2 4 7 2 2 3 2" xfId="13557" xr:uid="{4F710CE3-43EB-4B86-B2DE-5BF2B5BB5D91}"/>
    <cellStyle name="Normal 2 4 7 2 2 4" xfId="9339" xr:uid="{90719C15-71B1-40E4-98AC-2CD3EFAEE69F}"/>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9353139F-3AC7-4C78-A323-BE343047B0CE}"/>
    <cellStyle name="Normal 2 4 7 2 3 2 3" xfId="11897" xr:uid="{6BA7CF84-85AD-4003-A388-40E37D654ABA}"/>
    <cellStyle name="Normal 2 4 7 2 3 3" xfId="5531" xr:uid="{00000000-0005-0000-0000-0000DE100000}"/>
    <cellStyle name="Normal 2 4 7 2 3 3 2" xfId="13970" xr:uid="{CCB61080-2C97-4334-8A07-0C8B65432A15}"/>
    <cellStyle name="Normal 2 4 7 2 3 4" xfId="9752" xr:uid="{91DF6387-680E-45D1-84B6-F545820777D7}"/>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9F75BEC3-1593-4DCC-A682-E416D5D3075E}"/>
    <cellStyle name="Normal 2 4 7 2 4 2 3" xfId="12310" xr:uid="{8939C661-E837-466C-BEE0-1D9572FF7518}"/>
    <cellStyle name="Normal 2 4 7 2 4 3" xfId="5944" xr:uid="{00000000-0005-0000-0000-0000E2100000}"/>
    <cellStyle name="Normal 2 4 7 2 4 3 2" xfId="14383" xr:uid="{43D53285-5077-4109-94AA-DBDE3760D9FA}"/>
    <cellStyle name="Normal 2 4 7 2 4 4" xfId="10165" xr:uid="{5EE807A2-20B3-44FA-BDAA-B23DCDEDBE9B}"/>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2F1F6A8B-CA39-4594-B4ED-F223B4B2E47F}"/>
    <cellStyle name="Normal 2 4 7 2 5 2 3" xfId="12723" xr:uid="{088462D0-3F75-4F51-8145-AF2A7E9F6E72}"/>
    <cellStyle name="Normal 2 4 7 2 5 3" xfId="6357" xr:uid="{00000000-0005-0000-0000-0000E6100000}"/>
    <cellStyle name="Normal 2 4 7 2 5 3 2" xfId="14796" xr:uid="{2F485C7C-38E4-4A62-8773-13AD8A15BA96}"/>
    <cellStyle name="Normal 2 4 7 2 5 4" xfId="10578" xr:uid="{452130A8-A8D1-404D-99FB-E57E1291B0F5}"/>
    <cellStyle name="Normal 2 4 7 2 6" xfId="2486" xr:uid="{00000000-0005-0000-0000-0000E7100000}"/>
    <cellStyle name="Normal 2 4 7 2 6 2" xfId="6770" xr:uid="{00000000-0005-0000-0000-0000E8100000}"/>
    <cellStyle name="Normal 2 4 7 2 6 2 2" xfId="15209" xr:uid="{44AB385B-5D4D-47EF-8E48-445227B1B25C}"/>
    <cellStyle name="Normal 2 4 7 2 6 3" xfId="10991" xr:uid="{E8D19ED3-FE37-4629-AFF1-9C47EA9FC289}"/>
    <cellStyle name="Normal 2 4 7 2 7" xfId="4704" xr:uid="{00000000-0005-0000-0000-0000E9100000}"/>
    <cellStyle name="Normal 2 4 7 2 7 2" xfId="13143" xr:uid="{BDE675DE-7A15-43A5-A079-B5DB2DFC45A1}"/>
    <cellStyle name="Normal 2 4 7 2 8" xfId="8925" xr:uid="{04499F3C-0969-4C69-875F-D7684FBDC989}"/>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5C0F769D-FF9C-4938-B2AD-84472E5E1338}"/>
    <cellStyle name="Normal 2 4 7 3 2 3" xfId="11483" xr:uid="{76D7C873-3466-4679-8F8A-D27792DC6692}"/>
    <cellStyle name="Normal 2 4 7 3 3" xfId="5117" xr:uid="{00000000-0005-0000-0000-0000ED100000}"/>
    <cellStyle name="Normal 2 4 7 3 3 2" xfId="13556" xr:uid="{59FF3014-09B6-4F4B-BE63-4FD5FAA331EE}"/>
    <cellStyle name="Normal 2 4 7 3 4" xfId="9338" xr:uid="{C230351D-4ED0-4571-8E5F-CBCA44229FEF}"/>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564F2673-152D-4D6E-9543-9BED07230A36}"/>
    <cellStyle name="Normal 2 4 7 4 2 3" xfId="11896" xr:uid="{A237DEC3-DB6A-444B-8837-AFC874023D87}"/>
    <cellStyle name="Normal 2 4 7 4 3" xfId="5530" xr:uid="{00000000-0005-0000-0000-0000F1100000}"/>
    <cellStyle name="Normal 2 4 7 4 3 2" xfId="13969" xr:uid="{3CF7F519-1F96-4F7C-909D-58597193C01C}"/>
    <cellStyle name="Normal 2 4 7 4 4" xfId="9751" xr:uid="{64536ACA-4539-4625-8000-C8AEFE565353}"/>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3D0EE476-576B-4AC7-97F9-F0594AA47358}"/>
    <cellStyle name="Normal 2 4 7 5 2 3" xfId="12309" xr:uid="{D670BF9A-5AA2-4B01-B5F2-F388762E4E28}"/>
    <cellStyle name="Normal 2 4 7 5 3" xfId="5943" xr:uid="{00000000-0005-0000-0000-0000F5100000}"/>
    <cellStyle name="Normal 2 4 7 5 3 2" xfId="14382" xr:uid="{97E28117-CE90-42BB-967E-A70F519A85DB}"/>
    <cellStyle name="Normal 2 4 7 5 4" xfId="10164" xr:uid="{784C81B8-C5CE-40DF-9C85-4F7BC13E9049}"/>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CCED96FA-66D5-40CA-9484-4766AD622F1B}"/>
    <cellStyle name="Normal 2 4 7 6 2 3" xfId="12722" xr:uid="{0FC9F37F-F93C-40D7-808A-E4E15F9B431A}"/>
    <cellStyle name="Normal 2 4 7 6 3" xfId="6356" xr:uid="{00000000-0005-0000-0000-0000F9100000}"/>
    <cellStyle name="Normal 2 4 7 6 3 2" xfId="14795" xr:uid="{E671DB2D-5808-4816-A44D-ACFB37C3F64C}"/>
    <cellStyle name="Normal 2 4 7 6 4" xfId="10577" xr:uid="{6EEEFC21-0BE4-43DD-8CD4-AEBA0CF9C577}"/>
    <cellStyle name="Normal 2 4 7 7" xfId="2485" xr:uid="{00000000-0005-0000-0000-0000FA100000}"/>
    <cellStyle name="Normal 2 4 7 7 2" xfId="6769" xr:uid="{00000000-0005-0000-0000-0000FB100000}"/>
    <cellStyle name="Normal 2 4 7 7 2 2" xfId="15208" xr:uid="{9F4E3879-764C-4E43-9AF6-A18CF7582E45}"/>
    <cellStyle name="Normal 2 4 7 7 3" xfId="10990" xr:uid="{3CAA37F6-14E5-490C-B545-11B9F4499551}"/>
    <cellStyle name="Normal 2 4 7 8" xfId="4703" xr:uid="{00000000-0005-0000-0000-0000FC100000}"/>
    <cellStyle name="Normal 2 4 7 8 2" xfId="13142" xr:uid="{6D35A072-A0E7-4820-B664-19026AA68E71}"/>
    <cellStyle name="Normal 2 4 7 9" xfId="8924" xr:uid="{BAF16758-122E-455F-8A36-772C6C1A8ED7}"/>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4D10C107-F74C-486A-9824-A53D01FC948B}"/>
    <cellStyle name="Normal 2 4 8 2 2 3" xfId="11485" xr:uid="{AD928F0B-4DED-466E-A629-555C794307E2}"/>
    <cellStyle name="Normal 2 4 8 2 3" xfId="5119" xr:uid="{00000000-0005-0000-0000-000001110000}"/>
    <cellStyle name="Normal 2 4 8 2 3 2" xfId="13558" xr:uid="{9F096BCD-EE15-463C-BE96-EE8F879DD1DB}"/>
    <cellStyle name="Normal 2 4 8 2 4" xfId="9340" xr:uid="{02DFBA36-27F3-4EB1-96E9-B53FD87E7C43}"/>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25CF12F5-B668-4DC9-A50D-97E5625989A6}"/>
    <cellStyle name="Normal 2 4 8 3 2 3" xfId="11898" xr:uid="{6A6C97F9-F9C6-4C2B-BB23-EF5DB5EAEAD1}"/>
    <cellStyle name="Normal 2 4 8 3 3" xfId="5532" xr:uid="{00000000-0005-0000-0000-000005110000}"/>
    <cellStyle name="Normal 2 4 8 3 3 2" xfId="13971" xr:uid="{422E4A38-AAE2-46DE-87D6-AE3974E7D5FB}"/>
    <cellStyle name="Normal 2 4 8 3 4" xfId="9753" xr:uid="{B06426C1-5053-41CE-A8BD-EC55E035B8EE}"/>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98FCB859-3A24-4C1F-9824-6B1F4F365822}"/>
    <cellStyle name="Normal 2 4 8 4 2 3" xfId="12311" xr:uid="{13C2C804-1ABB-406C-AE77-CE9A0E08CF8C}"/>
    <cellStyle name="Normal 2 4 8 4 3" xfId="5945" xr:uid="{00000000-0005-0000-0000-000009110000}"/>
    <cellStyle name="Normal 2 4 8 4 3 2" xfId="14384" xr:uid="{AEBBABB1-2050-420F-9B9B-580201B44707}"/>
    <cellStyle name="Normal 2 4 8 4 4" xfId="10166" xr:uid="{34EE4506-4269-45BD-B378-64C82ACFFFE0}"/>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E1839ED4-1D71-4B95-8BDF-2319B2236F63}"/>
    <cellStyle name="Normal 2 4 8 5 2 3" xfId="12724" xr:uid="{DFA630D0-DA2D-4236-B7B8-8678B88D3ABA}"/>
    <cellStyle name="Normal 2 4 8 5 3" xfId="6358" xr:uid="{00000000-0005-0000-0000-00000D110000}"/>
    <cellStyle name="Normal 2 4 8 5 3 2" xfId="14797" xr:uid="{08CFD6EB-07CE-4E87-A833-B6C2547B509A}"/>
    <cellStyle name="Normal 2 4 8 5 4" xfId="10579" xr:uid="{AAC71164-6CEB-4DF0-871C-0750F1ADCEC8}"/>
    <cellStyle name="Normal 2 4 8 6" xfId="2487" xr:uid="{00000000-0005-0000-0000-00000E110000}"/>
    <cellStyle name="Normal 2 4 8 6 2" xfId="6771" xr:uid="{00000000-0005-0000-0000-00000F110000}"/>
    <cellStyle name="Normal 2 4 8 6 2 2" xfId="15210" xr:uid="{F59A7BF6-C05B-4F17-A1A6-0130AB37315B}"/>
    <cellStyle name="Normal 2 4 8 6 3" xfId="10992" xr:uid="{D942D37A-4DE0-4A01-9236-2248B40EC3CA}"/>
    <cellStyle name="Normal 2 4 8 7" xfId="4705" xr:uid="{00000000-0005-0000-0000-000010110000}"/>
    <cellStyle name="Normal 2 4 8 7 2" xfId="13144" xr:uid="{FC8623D9-09D7-4E42-88F5-640B710B042A}"/>
    <cellStyle name="Normal 2 4 8 8" xfId="8926" xr:uid="{26BC5FED-929C-46AD-9C42-B0B4A3547A99}"/>
    <cellStyle name="Normal 2 5" xfId="315" xr:uid="{00000000-0005-0000-0000-000011110000}"/>
    <cellStyle name="Normal 2 5 10" xfId="4706" xr:uid="{00000000-0005-0000-0000-000012110000}"/>
    <cellStyle name="Normal 2 5 10 2" xfId="13145" xr:uid="{D23B5E0C-A2B6-496E-AA7F-87C65460D47D}"/>
    <cellStyle name="Normal 2 5 11" xfId="8927" xr:uid="{24EA431B-AA87-48D9-BF9A-C17E0CDB7FD1}"/>
    <cellStyle name="Normal 2 5 2" xfId="316" xr:uid="{00000000-0005-0000-0000-000013110000}"/>
    <cellStyle name="Normal 2 5 3" xfId="317" xr:uid="{00000000-0005-0000-0000-000014110000}"/>
    <cellStyle name="Normal 2 5 4" xfId="318" xr:uid="{00000000-0005-0000-0000-000015110000}"/>
    <cellStyle name="Normal 2 5 4 10" xfId="8928" xr:uid="{877A5612-81D4-4D31-AE73-02E243087B64}"/>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3A17E577-1100-4EE1-8EE6-BC190D0FB95D}"/>
    <cellStyle name="Normal 2 5 4 2 2 2 2 3" xfId="11489" xr:uid="{BDCC56BA-9799-4F31-AE4B-54512DC2233B}"/>
    <cellStyle name="Normal 2 5 4 2 2 2 3" xfId="5123" xr:uid="{00000000-0005-0000-0000-00001B110000}"/>
    <cellStyle name="Normal 2 5 4 2 2 2 3 2" xfId="13562" xr:uid="{3CDDE926-B9FA-423D-83B8-6BCEFA29C4B3}"/>
    <cellStyle name="Normal 2 5 4 2 2 2 4" xfId="9344" xr:uid="{80F4954C-7B15-4466-A8BE-EC7C2B0C9572}"/>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8BEADF42-006E-413C-8171-06CC6A00A78F}"/>
    <cellStyle name="Normal 2 5 4 2 2 3 2 3" xfId="11902" xr:uid="{6484A799-BEBA-4949-8564-429BB5911A3F}"/>
    <cellStyle name="Normal 2 5 4 2 2 3 3" xfId="5536" xr:uid="{00000000-0005-0000-0000-00001F110000}"/>
    <cellStyle name="Normal 2 5 4 2 2 3 3 2" xfId="13975" xr:uid="{929F8DBA-B81A-456A-A843-4B6124C130B1}"/>
    <cellStyle name="Normal 2 5 4 2 2 3 4" xfId="9757" xr:uid="{15910ED1-A471-4B83-AB36-9BE31C6E0DAF}"/>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626D499E-383B-4FF4-AD32-B1B32E0F2A73}"/>
    <cellStyle name="Normal 2 5 4 2 2 4 2 3" xfId="12315" xr:uid="{8A5AFEE1-FEDC-42B2-BFE4-60C13E4AC71C}"/>
    <cellStyle name="Normal 2 5 4 2 2 4 3" xfId="5949" xr:uid="{00000000-0005-0000-0000-000023110000}"/>
    <cellStyle name="Normal 2 5 4 2 2 4 3 2" xfId="14388" xr:uid="{FBBD6406-31FA-414F-B810-27F566F0FF0F}"/>
    <cellStyle name="Normal 2 5 4 2 2 4 4" xfId="10170" xr:uid="{A1A21553-3B3B-4A08-A946-59FA5ACBBD03}"/>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1C4AFD32-FF00-42F2-A837-3D970292A5D3}"/>
    <cellStyle name="Normal 2 5 4 2 2 5 2 3" xfId="12728" xr:uid="{E840490B-B61F-4715-AFBD-3F2487FE5992}"/>
    <cellStyle name="Normal 2 5 4 2 2 5 3" xfId="6362" xr:uid="{00000000-0005-0000-0000-000027110000}"/>
    <cellStyle name="Normal 2 5 4 2 2 5 3 2" xfId="14801" xr:uid="{EB0FDE39-3FB4-4762-9263-CE4B23E19B0C}"/>
    <cellStyle name="Normal 2 5 4 2 2 5 4" xfId="10583" xr:uid="{5BAD0D05-92EF-4446-99A8-9D94B237F509}"/>
    <cellStyle name="Normal 2 5 4 2 2 6" xfId="2491" xr:uid="{00000000-0005-0000-0000-000028110000}"/>
    <cellStyle name="Normal 2 5 4 2 2 6 2" xfId="6775" xr:uid="{00000000-0005-0000-0000-000029110000}"/>
    <cellStyle name="Normal 2 5 4 2 2 6 2 2" xfId="15214" xr:uid="{88150062-4DB2-4944-84DE-745729354147}"/>
    <cellStyle name="Normal 2 5 4 2 2 6 3" xfId="10996" xr:uid="{2938946C-5BC1-4D04-9870-2EBF4CFBD7C3}"/>
    <cellStyle name="Normal 2 5 4 2 2 7" xfId="4709" xr:uid="{00000000-0005-0000-0000-00002A110000}"/>
    <cellStyle name="Normal 2 5 4 2 2 7 2" xfId="13148" xr:uid="{D5E077BE-0CAD-4962-B94A-5A9D3B17ACB7}"/>
    <cellStyle name="Normal 2 5 4 2 2 8" xfId="8930" xr:uid="{069D6B7D-AAFD-4870-8AC6-E1A876F52D25}"/>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61FA934B-8089-4F50-B73A-1F69F5E65565}"/>
    <cellStyle name="Normal 2 5 4 2 3 2 3" xfId="11488" xr:uid="{031158B9-0392-413B-BA38-C0FFCA9E0540}"/>
    <cellStyle name="Normal 2 5 4 2 3 3" xfId="5122" xr:uid="{00000000-0005-0000-0000-00002E110000}"/>
    <cellStyle name="Normal 2 5 4 2 3 3 2" xfId="13561" xr:uid="{F67EE0EC-7B4B-4468-8842-E7E73299F82F}"/>
    <cellStyle name="Normal 2 5 4 2 3 4" xfId="9343" xr:uid="{AFED65CE-7FA2-4D5C-BCB5-29B9DA609CAA}"/>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35F77E59-68F5-4CBF-BCE2-ED4D9996B696}"/>
    <cellStyle name="Normal 2 5 4 2 4 2 3" xfId="11901" xr:uid="{C03869B8-480E-41BF-8DA2-5C501878DC41}"/>
    <cellStyle name="Normal 2 5 4 2 4 3" xfId="5535" xr:uid="{00000000-0005-0000-0000-000032110000}"/>
    <cellStyle name="Normal 2 5 4 2 4 3 2" xfId="13974" xr:uid="{6B3D2CC5-45F7-4637-89A2-1A098AE21A70}"/>
    <cellStyle name="Normal 2 5 4 2 4 4" xfId="9756" xr:uid="{A18E5498-8EA2-4304-8433-546E7B68574A}"/>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EE867DA4-FB2D-4428-A505-D8E3BE1E7FAA}"/>
    <cellStyle name="Normal 2 5 4 2 5 2 3" xfId="12314" xr:uid="{2E64ECB1-DB37-4798-A51F-87444322AC3E}"/>
    <cellStyle name="Normal 2 5 4 2 5 3" xfId="5948" xr:uid="{00000000-0005-0000-0000-000036110000}"/>
    <cellStyle name="Normal 2 5 4 2 5 3 2" xfId="14387" xr:uid="{FA397C71-8EDD-4A72-83D2-D7847A4F639B}"/>
    <cellStyle name="Normal 2 5 4 2 5 4" xfId="10169" xr:uid="{FE7D0B4B-9054-43C0-BD2C-ACCF7FAE8DAA}"/>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8D613324-9592-4883-80EB-98F3709ABA90}"/>
    <cellStyle name="Normal 2 5 4 2 6 2 3" xfId="12727" xr:uid="{F50BF378-4F13-444B-BC0B-61CCEA5CC959}"/>
    <cellStyle name="Normal 2 5 4 2 6 3" xfId="6361" xr:uid="{00000000-0005-0000-0000-00003A110000}"/>
    <cellStyle name="Normal 2 5 4 2 6 3 2" xfId="14800" xr:uid="{A33F01FB-92AC-4B06-9ABF-5AFDA31F9061}"/>
    <cellStyle name="Normal 2 5 4 2 6 4" xfId="10582" xr:uid="{E1C5DC1C-9B9C-4D99-A920-DEB251F46D77}"/>
    <cellStyle name="Normal 2 5 4 2 7" xfId="2490" xr:uid="{00000000-0005-0000-0000-00003B110000}"/>
    <cellStyle name="Normal 2 5 4 2 7 2" xfId="6774" xr:uid="{00000000-0005-0000-0000-00003C110000}"/>
    <cellStyle name="Normal 2 5 4 2 7 2 2" xfId="15213" xr:uid="{4B6B15EB-D07A-43AA-8F1F-95A734AD38BA}"/>
    <cellStyle name="Normal 2 5 4 2 7 3" xfId="10995" xr:uid="{D6224F1F-A980-466C-9E4D-783D6C4F96BD}"/>
    <cellStyle name="Normal 2 5 4 2 8" xfId="4708" xr:uid="{00000000-0005-0000-0000-00003D110000}"/>
    <cellStyle name="Normal 2 5 4 2 8 2" xfId="13147" xr:uid="{EFB2CFA8-AC53-4FFB-8E32-EE865BFB7373}"/>
    <cellStyle name="Normal 2 5 4 2 9" xfId="8929" xr:uid="{DA52D18C-8540-45FF-8BCC-B3D7B06C7B17}"/>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C9EC7077-0AC7-4A8A-8AAA-548142BEBB4A}"/>
    <cellStyle name="Normal 2 5 4 3 2 2 3" xfId="11490" xr:uid="{6C82FB93-6B6D-4C85-8B70-EABC530B9BF9}"/>
    <cellStyle name="Normal 2 5 4 3 2 3" xfId="5124" xr:uid="{00000000-0005-0000-0000-000042110000}"/>
    <cellStyle name="Normal 2 5 4 3 2 3 2" xfId="13563" xr:uid="{F9D255F6-3083-4551-BC09-6316FB8060D9}"/>
    <cellStyle name="Normal 2 5 4 3 2 4" xfId="9345" xr:uid="{7C6D6129-CAA0-432A-B1AB-8057E48DDA8D}"/>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0EF3A85F-4C54-4E17-9093-23BDC67AA17D}"/>
    <cellStyle name="Normal 2 5 4 3 3 2 3" xfId="11903" xr:uid="{DE5E2059-16F4-4D39-B15F-E941AAE1A042}"/>
    <cellStyle name="Normal 2 5 4 3 3 3" xfId="5537" xr:uid="{00000000-0005-0000-0000-000046110000}"/>
    <cellStyle name="Normal 2 5 4 3 3 3 2" xfId="13976" xr:uid="{D69FEB28-EABD-4B04-ADFB-0B6846707DC4}"/>
    <cellStyle name="Normal 2 5 4 3 3 4" xfId="9758" xr:uid="{CDF9B8D5-CA57-4948-8358-411900811858}"/>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4E6893F6-F172-49DC-AAD3-4BCB62123CC3}"/>
    <cellStyle name="Normal 2 5 4 3 4 2 3" xfId="12316" xr:uid="{818C9821-A014-4FED-82E7-405C4C401005}"/>
    <cellStyle name="Normal 2 5 4 3 4 3" xfId="5950" xr:uid="{00000000-0005-0000-0000-00004A110000}"/>
    <cellStyle name="Normal 2 5 4 3 4 3 2" xfId="14389" xr:uid="{403E28CA-D859-499E-BC62-430DA0573A52}"/>
    <cellStyle name="Normal 2 5 4 3 4 4" xfId="10171" xr:uid="{A14BDAF3-5577-40A7-8BD6-9571A4E14F05}"/>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85F79968-4499-47F3-B1FC-2792F3983981}"/>
    <cellStyle name="Normal 2 5 4 3 5 2 3" xfId="12729" xr:uid="{7ED84637-6002-4FD5-AB9B-C7B331271BE9}"/>
    <cellStyle name="Normal 2 5 4 3 5 3" xfId="6363" xr:uid="{00000000-0005-0000-0000-00004E110000}"/>
    <cellStyle name="Normal 2 5 4 3 5 3 2" xfId="14802" xr:uid="{73C11A6C-3FAB-47D8-970F-23ECB1A2D360}"/>
    <cellStyle name="Normal 2 5 4 3 5 4" xfId="10584" xr:uid="{678CD84F-C7DD-471C-B5A6-185D67E7922F}"/>
    <cellStyle name="Normal 2 5 4 3 6" xfId="2492" xr:uid="{00000000-0005-0000-0000-00004F110000}"/>
    <cellStyle name="Normal 2 5 4 3 6 2" xfId="6776" xr:uid="{00000000-0005-0000-0000-000050110000}"/>
    <cellStyle name="Normal 2 5 4 3 6 2 2" xfId="15215" xr:uid="{1997C3D2-0EDA-48A8-9EC4-2CDB153B69BC}"/>
    <cellStyle name="Normal 2 5 4 3 6 3" xfId="10997" xr:uid="{49742015-3911-495C-AC7B-BD53DB745E1B}"/>
    <cellStyle name="Normal 2 5 4 3 7" xfId="4710" xr:uid="{00000000-0005-0000-0000-000051110000}"/>
    <cellStyle name="Normal 2 5 4 3 7 2" xfId="13149" xr:uid="{3BC40AE3-C168-471D-B991-3A2DE1DBD5CC}"/>
    <cellStyle name="Normal 2 5 4 3 8" xfId="8931" xr:uid="{C1F5F11D-C7FE-483E-8C10-822B380D974D}"/>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8E22604E-4558-4AB2-B640-39154FD04761}"/>
    <cellStyle name="Normal 2 5 4 4 2 3" xfId="11487" xr:uid="{52322070-9062-424B-A1D7-D426CB87CDF2}"/>
    <cellStyle name="Normal 2 5 4 4 3" xfId="5121" xr:uid="{00000000-0005-0000-0000-000055110000}"/>
    <cellStyle name="Normal 2 5 4 4 3 2" xfId="13560" xr:uid="{2037CB76-BD96-44FC-A888-7D80311FAEC8}"/>
    <cellStyle name="Normal 2 5 4 4 4" xfId="9342" xr:uid="{C8BC0BE3-3069-443E-8BF3-16591EFE270D}"/>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30B1DDFC-6300-46BF-B4FD-98B8E61EC984}"/>
    <cellStyle name="Normal 2 5 4 5 2 3" xfId="11900" xr:uid="{88596DEF-2EDF-498B-84AC-8008E67654A0}"/>
    <cellStyle name="Normal 2 5 4 5 3" xfId="5534" xr:uid="{00000000-0005-0000-0000-000059110000}"/>
    <cellStyle name="Normal 2 5 4 5 3 2" xfId="13973" xr:uid="{D60D656F-4F52-4746-BCF2-678F36CCD498}"/>
    <cellStyle name="Normal 2 5 4 5 4" xfId="9755" xr:uid="{82B540D6-AA6C-46A1-B567-72F210181315}"/>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AB82FF8C-6154-4ED2-9231-D11995229533}"/>
    <cellStyle name="Normal 2 5 4 6 2 3" xfId="12313" xr:uid="{72F4B926-E821-48CD-9519-8CC1D5FD9A99}"/>
    <cellStyle name="Normal 2 5 4 6 3" xfId="5947" xr:uid="{00000000-0005-0000-0000-00005D110000}"/>
    <cellStyle name="Normal 2 5 4 6 3 2" xfId="14386" xr:uid="{1603B3B1-5603-4B2A-8AE2-A472879D9895}"/>
    <cellStyle name="Normal 2 5 4 6 4" xfId="10168" xr:uid="{7D13D3B8-E47F-47E3-8D98-22E927B9C513}"/>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B477BA60-E624-4094-9E12-4EA48A0E086C}"/>
    <cellStyle name="Normal 2 5 4 7 2 3" xfId="12726" xr:uid="{865A0541-4D40-4322-933B-6C04E2A73023}"/>
    <cellStyle name="Normal 2 5 4 7 3" xfId="6360" xr:uid="{00000000-0005-0000-0000-000061110000}"/>
    <cellStyle name="Normal 2 5 4 7 3 2" xfId="14799" xr:uid="{C9621EC2-B9CF-4E85-BCFF-E15C98B90510}"/>
    <cellStyle name="Normal 2 5 4 7 4" xfId="10581" xr:uid="{551BFEE7-1018-4E5C-92B0-DED9BD9655B7}"/>
    <cellStyle name="Normal 2 5 4 8" xfId="2489" xr:uid="{00000000-0005-0000-0000-000062110000}"/>
    <cellStyle name="Normal 2 5 4 8 2" xfId="6773" xr:uid="{00000000-0005-0000-0000-000063110000}"/>
    <cellStyle name="Normal 2 5 4 8 2 2" xfId="15212" xr:uid="{E688A499-FF4C-42A2-A0E2-8FD62A333E91}"/>
    <cellStyle name="Normal 2 5 4 8 3" xfId="10994" xr:uid="{51FA51F3-C3DB-40F7-B384-56F4B6770117}"/>
    <cellStyle name="Normal 2 5 4 9" xfId="4707" xr:uid="{00000000-0005-0000-0000-000064110000}"/>
    <cellStyle name="Normal 2 5 4 9 2" xfId="13146" xr:uid="{8B2D29FC-D4BC-4A11-85B5-CF942BF65C86}"/>
    <cellStyle name="Normal 2 5 5" xfId="803" xr:uid="{00000000-0005-0000-0000-000065110000}"/>
    <cellStyle name="Normal 2 5 5 2" xfId="3042" xr:uid="{00000000-0005-0000-0000-000066110000}"/>
    <cellStyle name="Normal 2 5 5 2 2" xfId="7265" xr:uid="{00000000-0005-0000-0000-000067110000}"/>
    <cellStyle name="Normal 2 5 5 2 2 2" xfId="15704" xr:uid="{ACCE937F-9013-48E8-A1BC-2D2B23EA9AAE}"/>
    <cellStyle name="Normal 2 5 5 2 3" xfId="11486" xr:uid="{3F0B4B9A-7B6A-4EB4-BFA4-BBD430ED7BDA}"/>
    <cellStyle name="Normal 2 5 5 3" xfId="5120" xr:uid="{00000000-0005-0000-0000-000068110000}"/>
    <cellStyle name="Normal 2 5 5 3 2" xfId="13559" xr:uid="{7E56957C-C68F-4EE0-9636-E20F2D8CF509}"/>
    <cellStyle name="Normal 2 5 5 4" xfId="9341" xr:uid="{4FB336E7-CBB0-4635-9DC5-BCD17FE0CF42}"/>
    <cellStyle name="Normal 2 5 6" xfId="1225" xr:uid="{00000000-0005-0000-0000-000069110000}"/>
    <cellStyle name="Normal 2 5 6 2" xfId="3455" xr:uid="{00000000-0005-0000-0000-00006A110000}"/>
    <cellStyle name="Normal 2 5 6 2 2" xfId="7678" xr:uid="{00000000-0005-0000-0000-00006B110000}"/>
    <cellStyle name="Normal 2 5 6 2 2 2" xfId="16117" xr:uid="{30217B79-664A-4B37-B364-8939875C0045}"/>
    <cellStyle name="Normal 2 5 6 2 3" xfId="11899" xr:uid="{9D2BD5CB-1A6D-47B5-AC5B-B632A65218A0}"/>
    <cellStyle name="Normal 2 5 6 3" xfId="5533" xr:uid="{00000000-0005-0000-0000-00006C110000}"/>
    <cellStyle name="Normal 2 5 6 3 2" xfId="13972" xr:uid="{CF63EC9C-A203-4D28-8765-C9E5046CD52B}"/>
    <cellStyle name="Normal 2 5 6 4" xfId="9754" xr:uid="{60228D95-06A3-4D0E-9244-2D485940C3EE}"/>
    <cellStyle name="Normal 2 5 7" xfId="1638" xr:uid="{00000000-0005-0000-0000-00006D110000}"/>
    <cellStyle name="Normal 2 5 7 2" xfId="3868" xr:uid="{00000000-0005-0000-0000-00006E110000}"/>
    <cellStyle name="Normal 2 5 7 2 2" xfId="8091" xr:uid="{00000000-0005-0000-0000-00006F110000}"/>
    <cellStyle name="Normal 2 5 7 2 2 2" xfId="16530" xr:uid="{1FF759D9-8FE2-4EFD-AB5E-75A0E18B9975}"/>
    <cellStyle name="Normal 2 5 7 2 3" xfId="12312" xr:uid="{DD2A9B22-BB2E-4E28-A988-F6BA402E25B1}"/>
    <cellStyle name="Normal 2 5 7 3" xfId="5946" xr:uid="{00000000-0005-0000-0000-000070110000}"/>
    <cellStyle name="Normal 2 5 7 3 2" xfId="14385" xr:uid="{31F3842B-A77C-49E5-B22E-7BFDF68BF93F}"/>
    <cellStyle name="Normal 2 5 7 4" xfId="10167" xr:uid="{6828FAA9-81FB-4ECD-B29E-7130F186D798}"/>
    <cellStyle name="Normal 2 5 8" xfId="2052" xr:uid="{00000000-0005-0000-0000-000071110000}"/>
    <cellStyle name="Normal 2 5 8 2" xfId="4281" xr:uid="{00000000-0005-0000-0000-000072110000}"/>
    <cellStyle name="Normal 2 5 8 2 2" xfId="8504" xr:uid="{00000000-0005-0000-0000-000073110000}"/>
    <cellStyle name="Normal 2 5 8 2 2 2" xfId="16943" xr:uid="{D09221E5-F225-41F5-AEAD-3F1680FF9F7E}"/>
    <cellStyle name="Normal 2 5 8 2 3" xfId="12725" xr:uid="{D3FF83C9-ABB7-4FF7-A59C-7F0FA1BB2E66}"/>
    <cellStyle name="Normal 2 5 8 3" xfId="6359" xr:uid="{00000000-0005-0000-0000-000074110000}"/>
    <cellStyle name="Normal 2 5 8 3 2" xfId="14798" xr:uid="{D1809825-C5CF-4FA5-AA3B-2EC02137B1FE}"/>
    <cellStyle name="Normal 2 5 8 4" xfId="10580" xr:uid="{0FD0A133-74CF-414D-BE8A-6104E537C65B}"/>
    <cellStyle name="Normal 2 5 9" xfId="2488" xr:uid="{00000000-0005-0000-0000-000075110000}"/>
    <cellStyle name="Normal 2 5 9 2" xfId="6772" xr:uid="{00000000-0005-0000-0000-000076110000}"/>
    <cellStyle name="Normal 2 5 9 2 2" xfId="15211" xr:uid="{5F30AEA4-D355-4248-8DE4-92E1A860149C}"/>
    <cellStyle name="Normal 2 5 9 3" xfId="10993" xr:uid="{7FD6EBEF-B077-415F-92CD-94517676F101}"/>
    <cellStyle name="Normal 2 6" xfId="322" xr:uid="{00000000-0005-0000-0000-000077110000}"/>
    <cellStyle name="Normal 2 7" xfId="769" xr:uid="{00000000-0005-0000-0000-000078110000}"/>
    <cellStyle name="Normal 2 8" xfId="4495" xr:uid="{00000000-0005-0000-0000-000079110000}"/>
    <cellStyle name="Normal 2 8 2" xfId="12937" xr:uid="{6D973387-A56E-453A-8E91-47D2862BFD23}"/>
    <cellStyle name="Normal 3" xfId="323" xr:uid="{00000000-0005-0000-0000-00007A110000}"/>
    <cellStyle name="Normal 3 2" xfId="324" xr:uid="{00000000-0005-0000-0000-00007B110000}"/>
    <cellStyle name="Normal 3 2 10" xfId="8932" xr:uid="{DCE72932-63C5-41E1-BF8D-5AE0B97E59D1}"/>
    <cellStyle name="Normal 3 2 2" xfId="325" xr:uid="{00000000-0005-0000-0000-00007C110000}"/>
    <cellStyle name="Normal 3 2 2 2" xfId="810" xr:uid="{00000000-0005-0000-0000-00007D110000}"/>
    <cellStyle name="Normal 3 2 3" xfId="326" xr:uid="{00000000-0005-0000-0000-00007E110000}"/>
    <cellStyle name="Normal 3 2 3 10" xfId="8933" xr:uid="{DDB5A150-E099-45E8-92F8-FA6768DC9503}"/>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F9FC09AE-67D7-4161-9A3A-5FCE720FE45C}"/>
    <cellStyle name="Normal 3 2 3 2 2 2 2 3" xfId="11494" xr:uid="{D18F95B9-75F5-43E5-933C-17C74DADB2D0}"/>
    <cellStyle name="Normal 3 2 3 2 2 2 3" xfId="5128" xr:uid="{00000000-0005-0000-0000-000084110000}"/>
    <cellStyle name="Normal 3 2 3 2 2 2 3 2" xfId="13567" xr:uid="{DF3631E3-F771-41BE-BFA9-91C883916038}"/>
    <cellStyle name="Normal 3 2 3 2 2 2 4" xfId="9349" xr:uid="{2B475235-175E-4745-936B-271FAB2A3F3D}"/>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7AB38E35-4623-445A-87D3-787819B7FAF4}"/>
    <cellStyle name="Normal 3 2 3 2 2 3 2 3" xfId="11907" xr:uid="{14FD9255-0895-45C1-9173-F752E28152A1}"/>
    <cellStyle name="Normal 3 2 3 2 2 3 3" xfId="5541" xr:uid="{00000000-0005-0000-0000-000088110000}"/>
    <cellStyle name="Normal 3 2 3 2 2 3 3 2" xfId="13980" xr:uid="{349B0CDA-8132-49D7-BBB0-1946939604DC}"/>
    <cellStyle name="Normal 3 2 3 2 2 3 4" xfId="9762" xr:uid="{6E25DC16-1B55-4A5E-AF61-FD1DA774933C}"/>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CF5FF99C-D887-42ED-B4C2-8183C60B7E45}"/>
    <cellStyle name="Normal 3 2 3 2 2 4 2 3" xfId="12320" xr:uid="{5ECCA36C-21F1-4710-9E20-A158DD3C1AD0}"/>
    <cellStyle name="Normal 3 2 3 2 2 4 3" xfId="5954" xr:uid="{00000000-0005-0000-0000-00008C110000}"/>
    <cellStyle name="Normal 3 2 3 2 2 4 3 2" xfId="14393" xr:uid="{226C7080-9860-44B1-80AD-AD6AE0B19ED7}"/>
    <cellStyle name="Normal 3 2 3 2 2 4 4" xfId="10175" xr:uid="{7728F6D5-EC7A-4F58-B8AB-61ADA288CD09}"/>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832C0F03-4E34-4CB8-B0D9-69748461323D}"/>
    <cellStyle name="Normal 3 2 3 2 2 5 2 3" xfId="12733" xr:uid="{A346C1DA-BFE5-4671-A485-FAB1763B83BC}"/>
    <cellStyle name="Normal 3 2 3 2 2 5 3" xfId="6367" xr:uid="{00000000-0005-0000-0000-000090110000}"/>
    <cellStyle name="Normal 3 2 3 2 2 5 3 2" xfId="14806" xr:uid="{3A1D9B8F-0809-48B4-A1FF-CA871D3B4988}"/>
    <cellStyle name="Normal 3 2 3 2 2 5 4" xfId="10588" xr:uid="{6FF07576-BD4D-4B87-A54B-379A4B50B1F7}"/>
    <cellStyle name="Normal 3 2 3 2 2 6" xfId="2496" xr:uid="{00000000-0005-0000-0000-000091110000}"/>
    <cellStyle name="Normal 3 2 3 2 2 6 2" xfId="6780" xr:uid="{00000000-0005-0000-0000-000092110000}"/>
    <cellStyle name="Normal 3 2 3 2 2 6 2 2" xfId="15219" xr:uid="{392D34B0-4FD1-4059-8DF9-368E5336472D}"/>
    <cellStyle name="Normal 3 2 3 2 2 6 3" xfId="11001" xr:uid="{5DD7FEDA-49F1-495E-AF93-509894955EB4}"/>
    <cellStyle name="Normal 3 2 3 2 2 7" xfId="4714" xr:uid="{00000000-0005-0000-0000-000093110000}"/>
    <cellStyle name="Normal 3 2 3 2 2 7 2" xfId="13153" xr:uid="{2EA8ED20-89DB-42EC-AF8B-AE10661EC276}"/>
    <cellStyle name="Normal 3 2 3 2 2 8" xfId="8935" xr:uid="{71981E31-4350-4B97-BF3C-43230AB417DA}"/>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0F133E99-687D-4C42-86FA-01B0ED7D4483}"/>
    <cellStyle name="Normal 3 2 3 2 3 2 3" xfId="11493" xr:uid="{614E6E07-4694-42A2-9CCD-78654FE27A0C}"/>
    <cellStyle name="Normal 3 2 3 2 3 3" xfId="5127" xr:uid="{00000000-0005-0000-0000-000097110000}"/>
    <cellStyle name="Normal 3 2 3 2 3 3 2" xfId="13566" xr:uid="{7CF578D6-167E-4ED7-BA83-5F7B47626875}"/>
    <cellStyle name="Normal 3 2 3 2 3 4" xfId="9348" xr:uid="{127EF0A8-94D7-4A7A-8156-E4176264FE0F}"/>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036BF94E-6497-40D2-9210-DA4FB63D7A70}"/>
    <cellStyle name="Normal 3 2 3 2 4 2 3" xfId="11906" xr:uid="{51DBBED2-4BAC-4461-B7F0-D021631EABAC}"/>
    <cellStyle name="Normal 3 2 3 2 4 3" xfId="5540" xr:uid="{00000000-0005-0000-0000-00009B110000}"/>
    <cellStyle name="Normal 3 2 3 2 4 3 2" xfId="13979" xr:uid="{2B9DFDE6-84E0-43FB-9EAB-7DA999885667}"/>
    <cellStyle name="Normal 3 2 3 2 4 4" xfId="9761" xr:uid="{1CC733DC-E200-496F-BA35-E6CF5B842B84}"/>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8CCC2BC9-7857-4C18-AA5E-1D4C8FC4F43F}"/>
    <cellStyle name="Normal 3 2 3 2 5 2 3" xfId="12319" xr:uid="{0BD157AD-014D-41D5-AB0D-B29E062272D9}"/>
    <cellStyle name="Normal 3 2 3 2 5 3" xfId="5953" xr:uid="{00000000-0005-0000-0000-00009F110000}"/>
    <cellStyle name="Normal 3 2 3 2 5 3 2" xfId="14392" xr:uid="{3B28D033-8686-4B0F-9DE9-9CEBC72EC782}"/>
    <cellStyle name="Normal 3 2 3 2 5 4" xfId="10174" xr:uid="{8AC89998-8197-4B69-8A5A-D93D9DE35099}"/>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34127ECB-3DE8-4159-BE32-A2E0FECF058B}"/>
    <cellStyle name="Normal 3 2 3 2 6 2 3" xfId="12732" xr:uid="{2134165C-38A3-4D2A-B32D-5398EA89254C}"/>
    <cellStyle name="Normal 3 2 3 2 6 3" xfId="6366" xr:uid="{00000000-0005-0000-0000-0000A3110000}"/>
    <cellStyle name="Normal 3 2 3 2 6 3 2" xfId="14805" xr:uid="{D64DC32A-4838-47C0-B5A7-BAD088EE183B}"/>
    <cellStyle name="Normal 3 2 3 2 6 4" xfId="10587" xr:uid="{A40EAD6C-D830-4F93-A6A5-B280107FAD0E}"/>
    <cellStyle name="Normal 3 2 3 2 7" xfId="2495" xr:uid="{00000000-0005-0000-0000-0000A4110000}"/>
    <cellStyle name="Normal 3 2 3 2 7 2" xfId="6779" xr:uid="{00000000-0005-0000-0000-0000A5110000}"/>
    <cellStyle name="Normal 3 2 3 2 7 2 2" xfId="15218" xr:uid="{F47D8EA5-5012-43C6-B302-4E2E7479B2AF}"/>
    <cellStyle name="Normal 3 2 3 2 7 3" xfId="11000" xr:uid="{8A73B9E6-AAC6-4510-820C-4B19ECD218CE}"/>
    <cellStyle name="Normal 3 2 3 2 8" xfId="4713" xr:uid="{00000000-0005-0000-0000-0000A6110000}"/>
    <cellStyle name="Normal 3 2 3 2 8 2" xfId="13152" xr:uid="{D950F3A1-B4DD-43B8-A68E-560C27CDD27E}"/>
    <cellStyle name="Normal 3 2 3 2 9" xfId="8934" xr:uid="{A2C89AE7-76F7-4AFE-B27B-5DFF594C6313}"/>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C9553EA6-A307-4EB7-A73D-0D6C703F088F}"/>
    <cellStyle name="Normal 3 2 3 3 2 2 3" xfId="11495" xr:uid="{954726F5-16F2-4D1D-853A-FB2679A82105}"/>
    <cellStyle name="Normal 3 2 3 3 2 3" xfId="5129" xr:uid="{00000000-0005-0000-0000-0000AB110000}"/>
    <cellStyle name="Normal 3 2 3 3 2 3 2" xfId="13568" xr:uid="{03F42AB4-DBEC-456E-A01D-4A9850CAEEA6}"/>
    <cellStyle name="Normal 3 2 3 3 2 4" xfId="9350" xr:uid="{FD6A2857-B170-4E65-A82C-557C75385D97}"/>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FB40A8AD-5483-421D-8E4A-9C3DF080F8EE}"/>
    <cellStyle name="Normal 3 2 3 3 3 2 3" xfId="11908" xr:uid="{8772D1FD-F27D-44F4-BA50-F8B058CDFECD}"/>
    <cellStyle name="Normal 3 2 3 3 3 3" xfId="5542" xr:uid="{00000000-0005-0000-0000-0000AF110000}"/>
    <cellStyle name="Normal 3 2 3 3 3 3 2" xfId="13981" xr:uid="{ECE5ECED-4811-477F-A659-DD7D5FFE8312}"/>
    <cellStyle name="Normal 3 2 3 3 3 4" xfId="9763" xr:uid="{9DEF479B-AE53-407F-8546-639126B9CE6C}"/>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A9D720C2-9E82-4F70-BFED-763063920B10}"/>
    <cellStyle name="Normal 3 2 3 3 4 2 3" xfId="12321" xr:uid="{AFFAAD13-5C1F-4B92-B594-ACB3DA2101E7}"/>
    <cellStyle name="Normal 3 2 3 3 4 3" xfId="5955" xr:uid="{00000000-0005-0000-0000-0000B3110000}"/>
    <cellStyle name="Normal 3 2 3 3 4 3 2" xfId="14394" xr:uid="{6415C1E8-94B2-4603-A1C7-42AA7B09274E}"/>
    <cellStyle name="Normal 3 2 3 3 4 4" xfId="10176" xr:uid="{C829991C-B2A8-4BEA-A541-2D4F78222A43}"/>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84AB498C-F63E-4564-91AB-16ABB6A52AE2}"/>
    <cellStyle name="Normal 3 2 3 3 5 2 3" xfId="12734" xr:uid="{D13D990D-4D37-43AB-95CB-23E5D1126EA4}"/>
    <cellStyle name="Normal 3 2 3 3 5 3" xfId="6368" xr:uid="{00000000-0005-0000-0000-0000B7110000}"/>
    <cellStyle name="Normal 3 2 3 3 5 3 2" xfId="14807" xr:uid="{FDE16939-A7F1-40D4-A289-3AB1036B2915}"/>
    <cellStyle name="Normal 3 2 3 3 5 4" xfId="10589" xr:uid="{52D6E735-C9B1-4357-AB42-627243F6CB99}"/>
    <cellStyle name="Normal 3 2 3 3 6" xfId="2497" xr:uid="{00000000-0005-0000-0000-0000B8110000}"/>
    <cellStyle name="Normal 3 2 3 3 6 2" xfId="6781" xr:uid="{00000000-0005-0000-0000-0000B9110000}"/>
    <cellStyle name="Normal 3 2 3 3 6 2 2" xfId="15220" xr:uid="{51523B61-6D6B-48E9-BDB0-6B17C4266E58}"/>
    <cellStyle name="Normal 3 2 3 3 6 3" xfId="11002" xr:uid="{2A6F476A-D655-4C14-A4EA-63B92B506AEE}"/>
    <cellStyle name="Normal 3 2 3 3 7" xfId="4715" xr:uid="{00000000-0005-0000-0000-0000BA110000}"/>
    <cellStyle name="Normal 3 2 3 3 7 2" xfId="13154" xr:uid="{48298D81-1F1F-4B99-B999-F0A539FDE52F}"/>
    <cellStyle name="Normal 3 2 3 3 8" xfId="8936" xr:uid="{267BFEAF-06A6-4D0F-AF1D-4A4E91A1215C}"/>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5E238067-2675-4CD0-87A0-E38E929B28D5}"/>
    <cellStyle name="Normal 3 2 3 4 2 3" xfId="11492" xr:uid="{3F2B6495-D8DA-43DC-BAE7-F4EE4FAB9C8C}"/>
    <cellStyle name="Normal 3 2 3 4 3" xfId="5126" xr:uid="{00000000-0005-0000-0000-0000BE110000}"/>
    <cellStyle name="Normal 3 2 3 4 3 2" xfId="13565" xr:uid="{72919711-8260-4FF8-A1AC-1117A64BA9E5}"/>
    <cellStyle name="Normal 3 2 3 4 4" xfId="9347" xr:uid="{D57F8A44-518B-4ECB-A914-CDD5E2FC87D5}"/>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CD8DAFA8-49B6-4F41-8337-F07FA5E8F07D}"/>
    <cellStyle name="Normal 3 2 3 5 2 3" xfId="11905" xr:uid="{2AAC38D5-0A24-48CC-8B48-65F9F2EF3AB9}"/>
    <cellStyle name="Normal 3 2 3 5 3" xfId="5539" xr:uid="{00000000-0005-0000-0000-0000C2110000}"/>
    <cellStyle name="Normal 3 2 3 5 3 2" xfId="13978" xr:uid="{475EC09B-5BD8-4784-B224-64C141083E5F}"/>
    <cellStyle name="Normal 3 2 3 5 4" xfId="9760" xr:uid="{72710A09-FBEE-4965-895B-C76300650DE3}"/>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8EF54BFE-F5FB-47B3-BDF1-50460795560B}"/>
    <cellStyle name="Normal 3 2 3 6 2 3" xfId="12318" xr:uid="{D881AF74-55EE-42FF-B407-CE1622B670DE}"/>
    <cellStyle name="Normal 3 2 3 6 3" xfId="5952" xr:uid="{00000000-0005-0000-0000-0000C6110000}"/>
    <cellStyle name="Normal 3 2 3 6 3 2" xfId="14391" xr:uid="{B14F4EB2-D2A4-43AE-85EE-618903C1F963}"/>
    <cellStyle name="Normal 3 2 3 6 4" xfId="10173" xr:uid="{3813856C-2634-4DCD-AAC5-FC15E68BE558}"/>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ADEC2BAB-26D5-4193-9460-B7FCC1530F65}"/>
    <cellStyle name="Normal 3 2 3 7 2 3" xfId="12731" xr:uid="{100E2D39-7998-43C2-93D8-F6532B15E356}"/>
    <cellStyle name="Normal 3 2 3 7 3" xfId="6365" xr:uid="{00000000-0005-0000-0000-0000CA110000}"/>
    <cellStyle name="Normal 3 2 3 7 3 2" xfId="14804" xr:uid="{CC0CA2EE-4AC8-4FB2-A4CB-14138A44BA45}"/>
    <cellStyle name="Normal 3 2 3 7 4" xfId="10586" xr:uid="{4DB9CE17-2AB0-43F2-AC9A-CC486C615683}"/>
    <cellStyle name="Normal 3 2 3 8" xfId="2494" xr:uid="{00000000-0005-0000-0000-0000CB110000}"/>
    <cellStyle name="Normal 3 2 3 8 2" xfId="6778" xr:uid="{00000000-0005-0000-0000-0000CC110000}"/>
    <cellStyle name="Normal 3 2 3 8 2 2" xfId="15217" xr:uid="{C823E8AF-564F-441C-94D5-F6A0D4E9549A}"/>
    <cellStyle name="Normal 3 2 3 8 3" xfId="10999" xr:uid="{6977B063-4AC3-4DB8-B665-95162FCD61F9}"/>
    <cellStyle name="Normal 3 2 3 9" xfId="4712" xr:uid="{00000000-0005-0000-0000-0000CD110000}"/>
    <cellStyle name="Normal 3 2 3 9 2" xfId="13151" xr:uid="{1B3DD596-65E1-4C5B-971F-99D7E70EFDF5}"/>
    <cellStyle name="Normal 3 2 4" xfId="809" xr:uid="{00000000-0005-0000-0000-0000CE110000}"/>
    <cellStyle name="Normal 3 2 4 2" xfId="3047" xr:uid="{00000000-0005-0000-0000-0000CF110000}"/>
    <cellStyle name="Normal 3 2 4 2 2" xfId="7270" xr:uid="{00000000-0005-0000-0000-0000D0110000}"/>
    <cellStyle name="Normal 3 2 4 2 2 2" xfId="15709" xr:uid="{1A34C89B-397A-4E10-B20E-5444DFE36165}"/>
    <cellStyle name="Normal 3 2 4 2 3" xfId="11491" xr:uid="{940A1762-FEDE-40A1-B46F-E1E8C333122E}"/>
    <cellStyle name="Normal 3 2 4 3" xfId="5125" xr:uid="{00000000-0005-0000-0000-0000D1110000}"/>
    <cellStyle name="Normal 3 2 4 3 2" xfId="13564" xr:uid="{6DCCD676-1061-468C-9499-CBFB30C35BBA}"/>
    <cellStyle name="Normal 3 2 4 4" xfId="9346" xr:uid="{D63BAA7C-2557-4A23-837E-842A745EE040}"/>
    <cellStyle name="Normal 3 2 5" xfId="1230" xr:uid="{00000000-0005-0000-0000-0000D2110000}"/>
    <cellStyle name="Normal 3 2 5 2" xfId="3460" xr:uid="{00000000-0005-0000-0000-0000D3110000}"/>
    <cellStyle name="Normal 3 2 5 2 2" xfId="7683" xr:uid="{00000000-0005-0000-0000-0000D4110000}"/>
    <cellStyle name="Normal 3 2 5 2 2 2" xfId="16122" xr:uid="{AE784D96-C0A5-4BD4-AC09-47D280C3D92C}"/>
    <cellStyle name="Normal 3 2 5 2 3" xfId="11904" xr:uid="{573BB84C-4487-4AE0-AB2D-9ADBAB8D9821}"/>
    <cellStyle name="Normal 3 2 5 3" xfId="5538" xr:uid="{00000000-0005-0000-0000-0000D5110000}"/>
    <cellStyle name="Normal 3 2 5 3 2" xfId="13977" xr:uid="{38840CF7-39BB-4134-839D-8232BC00B5FE}"/>
    <cellStyle name="Normal 3 2 5 4" xfId="9759" xr:uid="{1A3BCD7A-2EA4-4A39-8EF0-14EAEBD222E3}"/>
    <cellStyle name="Normal 3 2 6" xfId="1643" xr:uid="{00000000-0005-0000-0000-0000D6110000}"/>
    <cellStyle name="Normal 3 2 6 2" xfId="3873" xr:uid="{00000000-0005-0000-0000-0000D7110000}"/>
    <cellStyle name="Normal 3 2 6 2 2" xfId="8096" xr:uid="{00000000-0005-0000-0000-0000D8110000}"/>
    <cellStyle name="Normal 3 2 6 2 2 2" xfId="16535" xr:uid="{A747BD3C-1F14-4F80-A207-0278C86D0649}"/>
    <cellStyle name="Normal 3 2 6 2 3" xfId="12317" xr:uid="{D5C62715-6B9B-4FB9-A280-574EC83D203A}"/>
    <cellStyle name="Normal 3 2 6 3" xfId="5951" xr:uid="{00000000-0005-0000-0000-0000D9110000}"/>
    <cellStyle name="Normal 3 2 6 3 2" xfId="14390" xr:uid="{28224F70-5144-42A6-B532-9C44D5B17647}"/>
    <cellStyle name="Normal 3 2 6 4" xfId="10172" xr:uid="{85F441CC-D959-467B-80F9-DC7D3BA91F58}"/>
    <cellStyle name="Normal 3 2 7" xfId="2057" xr:uid="{00000000-0005-0000-0000-0000DA110000}"/>
    <cellStyle name="Normal 3 2 7 2" xfId="4286" xr:uid="{00000000-0005-0000-0000-0000DB110000}"/>
    <cellStyle name="Normal 3 2 7 2 2" xfId="8509" xr:uid="{00000000-0005-0000-0000-0000DC110000}"/>
    <cellStyle name="Normal 3 2 7 2 2 2" xfId="16948" xr:uid="{D3EB2154-AD19-4583-8D76-DE9EE6319A4F}"/>
    <cellStyle name="Normal 3 2 7 2 3" xfId="12730" xr:uid="{EF22AB93-00A6-4A7A-9BCE-B106082EB740}"/>
    <cellStyle name="Normal 3 2 7 3" xfId="6364" xr:uid="{00000000-0005-0000-0000-0000DD110000}"/>
    <cellStyle name="Normal 3 2 7 3 2" xfId="14803" xr:uid="{6813D450-8E14-46CD-8042-B1A99B3BF306}"/>
    <cellStyle name="Normal 3 2 7 4" xfId="10585" xr:uid="{5F8A260D-3639-4F29-8730-82BD1D7B23EF}"/>
    <cellStyle name="Normal 3 2 8" xfId="2493" xr:uid="{00000000-0005-0000-0000-0000DE110000}"/>
    <cellStyle name="Normal 3 2 8 2" xfId="6777" xr:uid="{00000000-0005-0000-0000-0000DF110000}"/>
    <cellStyle name="Normal 3 2 8 2 2" xfId="15216" xr:uid="{D5174D22-8068-4F9B-B771-34B8030731C1}"/>
    <cellStyle name="Normal 3 2 8 3" xfId="10998" xr:uid="{365F33BA-9B09-425E-A797-CC2A99AD7D91}"/>
    <cellStyle name="Normal 3 2 9" xfId="4711" xr:uid="{00000000-0005-0000-0000-0000E0110000}"/>
    <cellStyle name="Normal 3 2 9 2" xfId="13150" xr:uid="{50B65316-5B67-4A54-B454-5C2A9EAF46DB}"/>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D8846BF7-54FE-490C-B7A1-BAD9FA1A8EB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A963C107-BE2D-4F60-A9B9-7F34981228EE}"/>
    <cellStyle name="Normal 4 2 2 10 2 3" xfId="12735" xr:uid="{37CA9FE5-07D5-4D87-B552-94C939BC20F3}"/>
    <cellStyle name="Normal 4 2 2 10 3" xfId="6369" xr:uid="{00000000-0005-0000-0000-0000ED110000}"/>
    <cellStyle name="Normal 4 2 2 10 3 2" xfId="14808" xr:uid="{1F501BC9-82E2-4B0C-89CA-802522D68932}"/>
    <cellStyle name="Normal 4 2 2 10 4" xfId="10590" xr:uid="{AD876180-C07B-4BCF-A921-7D5A9AE4E052}"/>
    <cellStyle name="Normal 4 2 2 11" xfId="2498" xr:uid="{00000000-0005-0000-0000-0000EE110000}"/>
    <cellStyle name="Normal 4 2 2 11 2" xfId="6782" xr:uid="{00000000-0005-0000-0000-0000EF110000}"/>
    <cellStyle name="Normal 4 2 2 11 2 2" xfId="15221" xr:uid="{E5FF5C6A-8BE4-4F46-9174-88A19A53E6E4}"/>
    <cellStyle name="Normal 4 2 2 11 3" xfId="11003" xr:uid="{7A59ABD0-5907-4B90-8090-A3FE28BD72AE}"/>
    <cellStyle name="Normal 4 2 2 12" xfId="4717" xr:uid="{00000000-0005-0000-0000-0000F0110000}"/>
    <cellStyle name="Normal 4 2 2 12 2" xfId="13156" xr:uid="{86E952EE-2B60-4EB4-9DB8-0AA4203096BD}"/>
    <cellStyle name="Normal 4 2 2 13" xfId="8938" xr:uid="{CB883B48-6157-4A2E-B208-8D2362F65070}"/>
    <cellStyle name="Normal 4 2 2 2" xfId="338" xr:uid="{00000000-0005-0000-0000-0000F1110000}"/>
    <cellStyle name="Normal 4 2 2 3" xfId="339" xr:uid="{00000000-0005-0000-0000-0000F2110000}"/>
    <cellStyle name="Normal 4 2 2 3 10" xfId="4718" xr:uid="{00000000-0005-0000-0000-0000F3110000}"/>
    <cellStyle name="Normal 4 2 2 3 10 2" xfId="13157" xr:uid="{80D16BC7-DB19-435C-BF0B-FFC4BFF93BD2}"/>
    <cellStyle name="Normal 4 2 2 3 11" xfId="8939" xr:uid="{1A3DD16D-212F-4D9E-BB1C-296D9866AE85}"/>
    <cellStyle name="Normal 4 2 2 3 2" xfId="340" xr:uid="{00000000-0005-0000-0000-0000F4110000}"/>
    <cellStyle name="Normal 4 2 2 3 2 10" xfId="8940" xr:uid="{2CD1CA5C-0B86-4442-AAE6-116BE145361D}"/>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EE497DC0-8A84-4DBD-9BDB-D2743C579392}"/>
    <cellStyle name="Normal 4 2 2 3 2 2 2 2 2 3" xfId="11500" xr:uid="{301CCA25-CE09-4849-A4E0-8067AC06D2CF}"/>
    <cellStyle name="Normal 4 2 2 3 2 2 2 2 3" xfId="5134" xr:uid="{00000000-0005-0000-0000-0000FA110000}"/>
    <cellStyle name="Normal 4 2 2 3 2 2 2 2 3 2" xfId="13573" xr:uid="{EFC34126-F5CC-49EB-9685-2695BC9C258D}"/>
    <cellStyle name="Normal 4 2 2 3 2 2 2 2 4" xfId="9355" xr:uid="{E5AC88FC-8EC3-4255-9813-183CD2FBA9D2}"/>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4226B8DD-9902-4FAF-96E3-17AC52A1EB64}"/>
    <cellStyle name="Normal 4 2 2 3 2 2 2 3 2 3" xfId="11913" xr:uid="{5C901AEA-C8CC-4352-A86B-589F7DFDDC90}"/>
    <cellStyle name="Normal 4 2 2 3 2 2 2 3 3" xfId="5547" xr:uid="{00000000-0005-0000-0000-0000FE110000}"/>
    <cellStyle name="Normal 4 2 2 3 2 2 2 3 3 2" xfId="13986" xr:uid="{55A6FF62-6C98-4982-AB6E-86FA14EB4B32}"/>
    <cellStyle name="Normal 4 2 2 3 2 2 2 3 4" xfId="9768" xr:uid="{9818F967-E80F-44ED-8856-D6C2FD2966C6}"/>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A1034328-262C-4E0E-8743-6B630159755B}"/>
    <cellStyle name="Normal 4 2 2 3 2 2 2 4 2 3" xfId="12326" xr:uid="{59F15933-0032-4F58-982D-3EDB7D994211}"/>
    <cellStyle name="Normal 4 2 2 3 2 2 2 4 3" xfId="5960" xr:uid="{00000000-0005-0000-0000-000002120000}"/>
    <cellStyle name="Normal 4 2 2 3 2 2 2 4 3 2" xfId="14399" xr:uid="{28A55CBC-A43A-469F-8EE3-F430E9B3791D}"/>
    <cellStyle name="Normal 4 2 2 3 2 2 2 4 4" xfId="10181" xr:uid="{CDD367C7-225D-4480-8EB4-7A945C38010A}"/>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6B458DFC-9647-4247-8CD6-AD1A172CA85A}"/>
    <cellStyle name="Normal 4 2 2 3 2 2 2 5 2 3" xfId="12739" xr:uid="{E4B471F8-8A8D-44CA-8C35-3F92532B9F0C}"/>
    <cellStyle name="Normal 4 2 2 3 2 2 2 5 3" xfId="6373" xr:uid="{00000000-0005-0000-0000-000006120000}"/>
    <cellStyle name="Normal 4 2 2 3 2 2 2 5 3 2" xfId="14812" xr:uid="{30E3355A-D39B-4DC5-A799-6D54D7947B9F}"/>
    <cellStyle name="Normal 4 2 2 3 2 2 2 5 4" xfId="10594" xr:uid="{321DDEC1-D845-4788-B017-0CD57470A59F}"/>
    <cellStyle name="Normal 4 2 2 3 2 2 2 6" xfId="2502" xr:uid="{00000000-0005-0000-0000-000007120000}"/>
    <cellStyle name="Normal 4 2 2 3 2 2 2 6 2" xfId="6786" xr:uid="{00000000-0005-0000-0000-000008120000}"/>
    <cellStyle name="Normal 4 2 2 3 2 2 2 6 2 2" xfId="15225" xr:uid="{FEC9112C-F0F0-4A34-B27A-F4625F364914}"/>
    <cellStyle name="Normal 4 2 2 3 2 2 2 6 3" xfId="11007" xr:uid="{947E8A5A-73C5-4794-A216-13508C2FB17B}"/>
    <cellStyle name="Normal 4 2 2 3 2 2 2 7" xfId="4721" xr:uid="{00000000-0005-0000-0000-000009120000}"/>
    <cellStyle name="Normal 4 2 2 3 2 2 2 7 2" xfId="13160" xr:uid="{97F2C9C3-C03D-4859-A28D-F8C547BFD111}"/>
    <cellStyle name="Normal 4 2 2 3 2 2 2 8" xfId="8942" xr:uid="{D7FFC3D3-53E0-4DCB-9513-6AD4CDD291B6}"/>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CFF75C45-F887-408C-82F8-3C50358CBFBC}"/>
    <cellStyle name="Normal 4 2 2 3 2 2 3 2 3" xfId="11499" xr:uid="{6C933AAF-4812-449D-80EC-1BAE3F13AD4B}"/>
    <cellStyle name="Normal 4 2 2 3 2 2 3 3" xfId="5133" xr:uid="{00000000-0005-0000-0000-00000D120000}"/>
    <cellStyle name="Normal 4 2 2 3 2 2 3 3 2" xfId="13572" xr:uid="{7E9EEF4C-3E3E-4561-B467-6BBD0E3EC417}"/>
    <cellStyle name="Normal 4 2 2 3 2 2 3 4" xfId="9354" xr:uid="{48609448-3A07-4223-98A5-B3920189F173}"/>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0F3AF5DC-3A6D-4FD1-8A9F-5C35CA923AAC}"/>
    <cellStyle name="Normal 4 2 2 3 2 2 4 2 3" xfId="11912" xr:uid="{841CE6F4-B2BA-485B-A742-6C476CBE50E5}"/>
    <cellStyle name="Normal 4 2 2 3 2 2 4 3" xfId="5546" xr:uid="{00000000-0005-0000-0000-000011120000}"/>
    <cellStyle name="Normal 4 2 2 3 2 2 4 3 2" xfId="13985" xr:uid="{3C444662-8D93-42D1-921E-2F78D696EA66}"/>
    <cellStyle name="Normal 4 2 2 3 2 2 4 4" xfId="9767" xr:uid="{C5176334-1841-492E-A0E5-7A79E3316A2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407214FA-5B68-4142-9F87-DB5ADA9D7AA2}"/>
    <cellStyle name="Normal 4 2 2 3 2 2 5 2 3" xfId="12325" xr:uid="{4668EE16-F219-4A7F-983D-BF9402DFD68F}"/>
    <cellStyle name="Normal 4 2 2 3 2 2 5 3" xfId="5959" xr:uid="{00000000-0005-0000-0000-000015120000}"/>
    <cellStyle name="Normal 4 2 2 3 2 2 5 3 2" xfId="14398" xr:uid="{710FC3B5-DCE0-4726-BA03-8308DF600A6B}"/>
    <cellStyle name="Normal 4 2 2 3 2 2 5 4" xfId="10180" xr:uid="{96D34A14-9F64-4B40-B417-3E5FC2143AB8}"/>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A6E7FE16-B8F1-47DD-9DA9-48B5FDA904A9}"/>
    <cellStyle name="Normal 4 2 2 3 2 2 6 2 3" xfId="12738" xr:uid="{DC17E05F-85C8-47D3-B0CA-3C236CBC844F}"/>
    <cellStyle name="Normal 4 2 2 3 2 2 6 3" xfId="6372" xr:uid="{00000000-0005-0000-0000-000019120000}"/>
    <cellStyle name="Normal 4 2 2 3 2 2 6 3 2" xfId="14811" xr:uid="{71680A7A-02BA-4E5E-83C5-BFA2C2B69148}"/>
    <cellStyle name="Normal 4 2 2 3 2 2 6 4" xfId="10593" xr:uid="{2A1F88B3-4721-4D15-87AD-24B0D2BDB12F}"/>
    <cellStyle name="Normal 4 2 2 3 2 2 7" xfId="2501" xr:uid="{00000000-0005-0000-0000-00001A120000}"/>
    <cellStyle name="Normal 4 2 2 3 2 2 7 2" xfId="6785" xr:uid="{00000000-0005-0000-0000-00001B120000}"/>
    <cellStyle name="Normal 4 2 2 3 2 2 7 2 2" xfId="15224" xr:uid="{0A42B856-F4D2-4ABA-BC0F-B8D49CB8A35C}"/>
    <cellStyle name="Normal 4 2 2 3 2 2 7 3" xfId="11006" xr:uid="{352C1104-A8B1-4237-B990-D5D014D4407C}"/>
    <cellStyle name="Normal 4 2 2 3 2 2 8" xfId="4720" xr:uid="{00000000-0005-0000-0000-00001C120000}"/>
    <cellStyle name="Normal 4 2 2 3 2 2 8 2" xfId="13159" xr:uid="{1B677DEB-EC8A-45AC-9CB1-C38AB84E8885}"/>
    <cellStyle name="Normal 4 2 2 3 2 2 9" xfId="8941" xr:uid="{C389CBC5-14A5-4A4F-91D0-E2AB5D0A251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25F71728-C7F1-4BC1-B62B-011D4C11A504}"/>
    <cellStyle name="Normal 4 2 2 3 2 3 2 2 3" xfId="11501" xr:uid="{949DCF88-1ED2-4DC3-A207-899A6D7A7CDF}"/>
    <cellStyle name="Normal 4 2 2 3 2 3 2 3" xfId="5135" xr:uid="{00000000-0005-0000-0000-000021120000}"/>
    <cellStyle name="Normal 4 2 2 3 2 3 2 3 2" xfId="13574" xr:uid="{9787A699-CC22-4EE8-A4F1-1095C118BFD8}"/>
    <cellStyle name="Normal 4 2 2 3 2 3 2 4" xfId="9356" xr:uid="{6BD199DD-4928-4D4F-B096-3F22B31DBEE3}"/>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17B6D1C6-5385-41C9-9F81-62A82399C6F0}"/>
    <cellStyle name="Normal 4 2 2 3 2 3 3 2 3" xfId="11914" xr:uid="{0A00003E-4263-4193-BF17-4B421385488F}"/>
    <cellStyle name="Normal 4 2 2 3 2 3 3 3" xfId="5548" xr:uid="{00000000-0005-0000-0000-000025120000}"/>
    <cellStyle name="Normal 4 2 2 3 2 3 3 3 2" xfId="13987" xr:uid="{1B620D34-2D8A-4B97-BDCC-5A87C7AB2941}"/>
    <cellStyle name="Normal 4 2 2 3 2 3 3 4" xfId="9769" xr:uid="{43906D80-B053-44E6-87F1-0C9DB6D06807}"/>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DF234712-FAC9-482A-8773-3085237749A4}"/>
    <cellStyle name="Normal 4 2 2 3 2 3 4 2 3" xfId="12327" xr:uid="{8E79E233-B981-4166-BB98-93449F09CB44}"/>
    <cellStyle name="Normal 4 2 2 3 2 3 4 3" xfId="5961" xr:uid="{00000000-0005-0000-0000-000029120000}"/>
    <cellStyle name="Normal 4 2 2 3 2 3 4 3 2" xfId="14400" xr:uid="{0B0911D3-BCD6-40AF-85AE-9E5CAB52346C}"/>
    <cellStyle name="Normal 4 2 2 3 2 3 4 4" xfId="10182" xr:uid="{907B21A4-8C5B-40CC-900F-BD93F0CEF4BA}"/>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E8B50F62-9526-4C62-B63B-36706979F58A}"/>
    <cellStyle name="Normal 4 2 2 3 2 3 5 2 3" xfId="12740" xr:uid="{326BFC1D-54A9-4265-B77D-9EC5DF0344A7}"/>
    <cellStyle name="Normal 4 2 2 3 2 3 5 3" xfId="6374" xr:uid="{00000000-0005-0000-0000-00002D120000}"/>
    <cellStyle name="Normal 4 2 2 3 2 3 5 3 2" xfId="14813" xr:uid="{6E0882CB-361C-4EDE-8209-E24186416709}"/>
    <cellStyle name="Normal 4 2 2 3 2 3 5 4" xfId="10595" xr:uid="{2906EB9E-42C9-4326-8BC5-B0FEED69FAF7}"/>
    <cellStyle name="Normal 4 2 2 3 2 3 6" xfId="2503" xr:uid="{00000000-0005-0000-0000-00002E120000}"/>
    <cellStyle name="Normal 4 2 2 3 2 3 6 2" xfId="6787" xr:uid="{00000000-0005-0000-0000-00002F120000}"/>
    <cellStyle name="Normal 4 2 2 3 2 3 6 2 2" xfId="15226" xr:uid="{92680777-39C3-449E-A3B6-148E72706110}"/>
    <cellStyle name="Normal 4 2 2 3 2 3 6 3" xfId="11008" xr:uid="{599771E6-373C-4418-9234-E24B73F28688}"/>
    <cellStyle name="Normal 4 2 2 3 2 3 7" xfId="4722" xr:uid="{00000000-0005-0000-0000-000030120000}"/>
    <cellStyle name="Normal 4 2 2 3 2 3 7 2" xfId="13161" xr:uid="{DAF9FC01-82BF-4B02-80CA-8FDE4A44F086}"/>
    <cellStyle name="Normal 4 2 2 3 2 3 8" xfId="8943" xr:uid="{9D74D4D0-52A1-4443-BBB1-E2D38F038456}"/>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16749132-9932-4D9C-AAA7-A366B379B838}"/>
    <cellStyle name="Normal 4 2 2 3 2 4 2 3" xfId="11498" xr:uid="{8517B541-9C1E-40A0-AD86-92BE982BF0BB}"/>
    <cellStyle name="Normal 4 2 2 3 2 4 3" xfId="5132" xr:uid="{00000000-0005-0000-0000-000034120000}"/>
    <cellStyle name="Normal 4 2 2 3 2 4 3 2" xfId="13571" xr:uid="{EEF5FD6D-0502-4D93-B566-FE2442B1D039}"/>
    <cellStyle name="Normal 4 2 2 3 2 4 4" xfId="9353" xr:uid="{2D707B02-CCE0-4267-A4D7-8A764242F25A}"/>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AEBC50CB-4751-4BB1-88EF-0BB06079128D}"/>
    <cellStyle name="Normal 4 2 2 3 2 5 2 3" xfId="11911" xr:uid="{078E7353-08DD-4434-B135-10A15108B4B1}"/>
    <cellStyle name="Normal 4 2 2 3 2 5 3" xfId="5545" xr:uid="{00000000-0005-0000-0000-000038120000}"/>
    <cellStyle name="Normal 4 2 2 3 2 5 3 2" xfId="13984" xr:uid="{7EC2CDF7-7A80-4E67-8FAB-B3F13CA4400D}"/>
    <cellStyle name="Normal 4 2 2 3 2 5 4" xfId="9766" xr:uid="{7AE6B373-A5EA-4690-A657-69EBCA96F60C}"/>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E6B07E6C-7E44-42AA-8146-D7ADF9961A1E}"/>
    <cellStyle name="Normal 4 2 2 3 2 6 2 3" xfId="12324" xr:uid="{F737C3B3-1E4A-409F-87E3-C73B89BC5F33}"/>
    <cellStyle name="Normal 4 2 2 3 2 6 3" xfId="5958" xr:uid="{00000000-0005-0000-0000-00003C120000}"/>
    <cellStyle name="Normal 4 2 2 3 2 6 3 2" xfId="14397" xr:uid="{469D1BD8-0A1A-4505-BE50-D2EDD4F574D9}"/>
    <cellStyle name="Normal 4 2 2 3 2 6 4" xfId="10179" xr:uid="{0912E8EA-39C7-4A1B-98DD-95382482F094}"/>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3603E641-6A1E-42A1-B107-88128C2B2CAC}"/>
    <cellStyle name="Normal 4 2 2 3 2 7 2 3" xfId="12737" xr:uid="{2833CFAC-6516-462E-AD4F-97A70070493A}"/>
    <cellStyle name="Normal 4 2 2 3 2 7 3" xfId="6371" xr:uid="{00000000-0005-0000-0000-000040120000}"/>
    <cellStyle name="Normal 4 2 2 3 2 7 3 2" xfId="14810" xr:uid="{D2E06D3A-E933-4D3F-8224-2679E45A4E70}"/>
    <cellStyle name="Normal 4 2 2 3 2 7 4" xfId="10592" xr:uid="{C5C45A32-C26C-404E-A02C-704BAF124C41}"/>
    <cellStyle name="Normal 4 2 2 3 2 8" xfId="2500" xr:uid="{00000000-0005-0000-0000-000041120000}"/>
    <cellStyle name="Normal 4 2 2 3 2 8 2" xfId="6784" xr:uid="{00000000-0005-0000-0000-000042120000}"/>
    <cellStyle name="Normal 4 2 2 3 2 8 2 2" xfId="15223" xr:uid="{6D979825-8A50-4E67-AE17-6BE89C85E681}"/>
    <cellStyle name="Normal 4 2 2 3 2 8 3" xfId="11005" xr:uid="{BB7E0DF3-ABAA-4251-A435-70C6724EEA12}"/>
    <cellStyle name="Normal 4 2 2 3 2 9" xfId="4719" xr:uid="{00000000-0005-0000-0000-000043120000}"/>
    <cellStyle name="Normal 4 2 2 3 2 9 2" xfId="13158" xr:uid="{7385C2A2-28C7-4C6D-BB3A-7B51BFC67C5B}"/>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8EAD236E-8522-41CE-B33C-0639D57BA609}"/>
    <cellStyle name="Normal 4 2 2 3 3 2 2 2 3" xfId="11503" xr:uid="{9838A113-E9C4-4207-8830-711860D92A00}"/>
    <cellStyle name="Normal 4 2 2 3 3 2 2 3" xfId="5137" xr:uid="{00000000-0005-0000-0000-000049120000}"/>
    <cellStyle name="Normal 4 2 2 3 3 2 2 3 2" xfId="13576" xr:uid="{D7CB722B-5E01-407F-833A-A545FF8D4FD6}"/>
    <cellStyle name="Normal 4 2 2 3 3 2 2 4" xfId="9358" xr:uid="{C792D45C-EB52-4D68-B251-740A401AE90C}"/>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47A040DD-24B9-4238-8121-2307FB3C2850}"/>
    <cellStyle name="Normal 4 2 2 3 3 2 3 2 3" xfId="11916" xr:uid="{581ECF9B-3FF6-4524-8BD5-41CC04D379C4}"/>
    <cellStyle name="Normal 4 2 2 3 3 2 3 3" xfId="5550" xr:uid="{00000000-0005-0000-0000-00004D120000}"/>
    <cellStyle name="Normal 4 2 2 3 3 2 3 3 2" xfId="13989" xr:uid="{54A11616-FB50-458D-9F4B-BA1190D543CD}"/>
    <cellStyle name="Normal 4 2 2 3 3 2 3 4" xfId="9771" xr:uid="{FC4FB3DD-F05C-48CD-8FC6-037A16260D78}"/>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5448A8E6-EB4C-480C-B552-B36580F80B88}"/>
    <cellStyle name="Normal 4 2 2 3 3 2 4 2 3" xfId="12329" xr:uid="{8113AA9B-2B4C-4CB9-85FA-3E9C848DFA9C}"/>
    <cellStyle name="Normal 4 2 2 3 3 2 4 3" xfId="5963" xr:uid="{00000000-0005-0000-0000-000051120000}"/>
    <cellStyle name="Normal 4 2 2 3 3 2 4 3 2" xfId="14402" xr:uid="{E85DDC05-D1F0-477A-AA96-D9D729D3E417}"/>
    <cellStyle name="Normal 4 2 2 3 3 2 4 4" xfId="10184" xr:uid="{91E0E224-B842-47E5-AFD0-9C623B1F6746}"/>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8DC212C2-6281-4051-AC24-685B5AA413CE}"/>
    <cellStyle name="Normal 4 2 2 3 3 2 5 2 3" xfId="12742" xr:uid="{BDD217CA-DA5A-42FA-9BB6-947AD4AE89B7}"/>
    <cellStyle name="Normal 4 2 2 3 3 2 5 3" xfId="6376" xr:uid="{00000000-0005-0000-0000-000055120000}"/>
    <cellStyle name="Normal 4 2 2 3 3 2 5 3 2" xfId="14815" xr:uid="{E1342EBD-2AE4-4E9D-8B83-0EFB8D8C8DB5}"/>
    <cellStyle name="Normal 4 2 2 3 3 2 5 4" xfId="10597" xr:uid="{9F363006-BBBC-4E58-A614-337193CFC6DE}"/>
    <cellStyle name="Normal 4 2 2 3 3 2 6" xfId="2505" xr:uid="{00000000-0005-0000-0000-000056120000}"/>
    <cellStyle name="Normal 4 2 2 3 3 2 6 2" xfId="6789" xr:uid="{00000000-0005-0000-0000-000057120000}"/>
    <cellStyle name="Normal 4 2 2 3 3 2 6 2 2" xfId="15228" xr:uid="{DAA653EB-2D59-45C1-A899-0A39F7E12681}"/>
    <cellStyle name="Normal 4 2 2 3 3 2 6 3" xfId="11010" xr:uid="{43189923-230E-4BBA-9059-9E66AC51E89F}"/>
    <cellStyle name="Normal 4 2 2 3 3 2 7" xfId="4724" xr:uid="{00000000-0005-0000-0000-000058120000}"/>
    <cellStyle name="Normal 4 2 2 3 3 2 7 2" xfId="13163" xr:uid="{BBD9B5C3-F025-42BF-B06F-48BAED987627}"/>
    <cellStyle name="Normal 4 2 2 3 3 2 8" xfId="8945" xr:uid="{5AE0A930-1271-4323-B98C-C2CBC097268C}"/>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34DA85BE-0787-4B11-9D46-0C5577C296A0}"/>
    <cellStyle name="Normal 4 2 2 3 3 3 2 3" xfId="11502" xr:uid="{53A59D14-C222-403C-BDD0-513CE7FCBB38}"/>
    <cellStyle name="Normal 4 2 2 3 3 3 3" xfId="5136" xr:uid="{00000000-0005-0000-0000-00005C120000}"/>
    <cellStyle name="Normal 4 2 2 3 3 3 3 2" xfId="13575" xr:uid="{3DC7690C-4268-4DE3-8B84-3B48D34AF2B3}"/>
    <cellStyle name="Normal 4 2 2 3 3 3 4" xfId="9357" xr:uid="{C85F7BCA-F18E-459F-AEB2-9AD1F7798C4F}"/>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24857841-D535-46D6-B988-43CF7F34ED1E}"/>
    <cellStyle name="Normal 4 2 2 3 3 4 2 3" xfId="11915" xr:uid="{623BCBCD-21B0-4BA4-AC84-8AEEB1F41BD5}"/>
    <cellStyle name="Normal 4 2 2 3 3 4 3" xfId="5549" xr:uid="{00000000-0005-0000-0000-000060120000}"/>
    <cellStyle name="Normal 4 2 2 3 3 4 3 2" xfId="13988" xr:uid="{AF30C9F6-8E1D-4034-8A43-88FFEC619C70}"/>
    <cellStyle name="Normal 4 2 2 3 3 4 4" xfId="9770" xr:uid="{D35D00C9-157D-4F57-87F4-FC5F4079DD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1821D5A0-4A20-414B-8F91-8FCE23F78C5B}"/>
    <cellStyle name="Normal 4 2 2 3 3 5 2 3" xfId="12328" xr:uid="{92BAA0C6-D36B-45D3-8A61-153A3C04BD1B}"/>
    <cellStyle name="Normal 4 2 2 3 3 5 3" xfId="5962" xr:uid="{00000000-0005-0000-0000-000064120000}"/>
    <cellStyle name="Normal 4 2 2 3 3 5 3 2" xfId="14401" xr:uid="{EEA85ADD-7915-4631-9895-47672500DC30}"/>
    <cellStyle name="Normal 4 2 2 3 3 5 4" xfId="10183" xr:uid="{6855ACBA-1D3E-446E-A50B-277105B47F4B}"/>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CC73A602-503B-40AC-B6A3-72A18D47F862}"/>
    <cellStyle name="Normal 4 2 2 3 3 6 2 3" xfId="12741" xr:uid="{CBB8B620-1A52-433C-A3C7-6FD534FF2676}"/>
    <cellStyle name="Normal 4 2 2 3 3 6 3" xfId="6375" xr:uid="{00000000-0005-0000-0000-000068120000}"/>
    <cellStyle name="Normal 4 2 2 3 3 6 3 2" xfId="14814" xr:uid="{9F28D363-C164-4130-9A60-24F838844BD9}"/>
    <cellStyle name="Normal 4 2 2 3 3 6 4" xfId="10596" xr:uid="{97FECC16-86E8-4B28-BF3D-034383FEC888}"/>
    <cellStyle name="Normal 4 2 2 3 3 7" xfId="2504" xr:uid="{00000000-0005-0000-0000-000069120000}"/>
    <cellStyle name="Normal 4 2 2 3 3 7 2" xfId="6788" xr:uid="{00000000-0005-0000-0000-00006A120000}"/>
    <cellStyle name="Normal 4 2 2 3 3 7 2 2" xfId="15227" xr:uid="{920D74C7-1644-40DC-861F-4ED85D7BC80B}"/>
    <cellStyle name="Normal 4 2 2 3 3 7 3" xfId="11009" xr:uid="{35981BC0-E761-48FC-8110-7DC813552794}"/>
    <cellStyle name="Normal 4 2 2 3 3 8" xfId="4723" xr:uid="{00000000-0005-0000-0000-00006B120000}"/>
    <cellStyle name="Normal 4 2 2 3 3 8 2" xfId="13162" xr:uid="{6D2A20F3-E978-4F94-BC76-16E03639C306}"/>
    <cellStyle name="Normal 4 2 2 3 3 9" xfId="8944" xr:uid="{84273C56-A189-4B25-9DF8-D7D24DC8290C}"/>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BFA76804-5549-44DC-B7C5-D5E0CEA29098}"/>
    <cellStyle name="Normal 4 2 2 3 4 2 2 3" xfId="11504" xr:uid="{BE5AFC98-C2C0-49B4-B397-365673A856DA}"/>
    <cellStyle name="Normal 4 2 2 3 4 2 3" xfId="5138" xr:uid="{00000000-0005-0000-0000-000070120000}"/>
    <cellStyle name="Normal 4 2 2 3 4 2 3 2" xfId="13577" xr:uid="{73453271-2D6D-4AA1-9520-7D016FAE173A}"/>
    <cellStyle name="Normal 4 2 2 3 4 2 4" xfId="9359" xr:uid="{52C801EF-4719-4C0B-AC31-A5DC913F6A08}"/>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C616E0B0-EA8F-4CCA-8752-913D2AB8958D}"/>
    <cellStyle name="Normal 4 2 2 3 4 3 2 3" xfId="11917" xr:uid="{52541124-C11E-4CCF-93AC-A54F61E15F7F}"/>
    <cellStyle name="Normal 4 2 2 3 4 3 3" xfId="5551" xr:uid="{00000000-0005-0000-0000-000074120000}"/>
    <cellStyle name="Normal 4 2 2 3 4 3 3 2" xfId="13990" xr:uid="{EB335C4D-EB95-4822-A10C-8E5D1405A63E}"/>
    <cellStyle name="Normal 4 2 2 3 4 3 4" xfId="9772" xr:uid="{4399DB0F-7317-4EFC-AC31-FD591284137F}"/>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42AF92FC-B219-4386-BAB7-6D2081C6CB38}"/>
    <cellStyle name="Normal 4 2 2 3 4 4 2 3" xfId="12330" xr:uid="{7B2A0BE6-555A-45C6-875F-4D5D75D09E85}"/>
    <cellStyle name="Normal 4 2 2 3 4 4 3" xfId="5964" xr:uid="{00000000-0005-0000-0000-000078120000}"/>
    <cellStyle name="Normal 4 2 2 3 4 4 3 2" xfId="14403" xr:uid="{EE8C3801-5311-4A24-ABCD-65F83E3140B8}"/>
    <cellStyle name="Normal 4 2 2 3 4 4 4" xfId="10185" xr:uid="{15EE3A8B-A608-4908-8BF9-2580B2CB86FE}"/>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2156E6A8-DD7C-4ACF-A3F3-3969B6D11617}"/>
    <cellStyle name="Normal 4 2 2 3 4 5 2 3" xfId="12743" xr:uid="{73621225-F3B7-4DD9-BDAE-9FC08A548063}"/>
    <cellStyle name="Normal 4 2 2 3 4 5 3" xfId="6377" xr:uid="{00000000-0005-0000-0000-00007C120000}"/>
    <cellStyle name="Normal 4 2 2 3 4 5 3 2" xfId="14816" xr:uid="{11FE214E-FF88-4962-B3B0-9650B12EF1E7}"/>
    <cellStyle name="Normal 4 2 2 3 4 5 4" xfId="10598" xr:uid="{79C55347-0353-40F0-8B93-23E7DE5A690B}"/>
    <cellStyle name="Normal 4 2 2 3 4 6" xfId="2506" xr:uid="{00000000-0005-0000-0000-00007D120000}"/>
    <cellStyle name="Normal 4 2 2 3 4 6 2" xfId="6790" xr:uid="{00000000-0005-0000-0000-00007E120000}"/>
    <cellStyle name="Normal 4 2 2 3 4 6 2 2" xfId="15229" xr:uid="{2F0D0143-F4A3-4EE5-B490-79C9D671CE0E}"/>
    <cellStyle name="Normal 4 2 2 3 4 6 3" xfId="11011" xr:uid="{CA9BDDD3-1150-44BB-81B5-9F83155721CB}"/>
    <cellStyle name="Normal 4 2 2 3 4 7" xfId="4725" xr:uid="{00000000-0005-0000-0000-00007F120000}"/>
    <cellStyle name="Normal 4 2 2 3 4 7 2" xfId="13164" xr:uid="{B6C1CD3D-B7A2-44DA-B81C-0FABEF3CFD9C}"/>
    <cellStyle name="Normal 4 2 2 3 4 8" xfId="8946" xr:uid="{1B6730AD-7401-4641-A6A6-2FD5CFB1FB0F}"/>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F39FBA78-5D96-4F15-AF7F-17CE47138203}"/>
    <cellStyle name="Normal 4 2 2 3 5 2 3" xfId="11497" xr:uid="{BD5A0913-4D27-4947-8E01-5E3A0E6E1089}"/>
    <cellStyle name="Normal 4 2 2 3 5 3" xfId="5131" xr:uid="{00000000-0005-0000-0000-000083120000}"/>
    <cellStyle name="Normal 4 2 2 3 5 3 2" xfId="13570" xr:uid="{8394B6D9-8B8C-4F39-9700-955F09FF5E97}"/>
    <cellStyle name="Normal 4 2 2 3 5 4" xfId="9352" xr:uid="{8B54EF93-1533-4440-B88F-5750E1B38B74}"/>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2824B983-2BF4-401C-AC1D-19678594E3ED}"/>
    <cellStyle name="Normal 4 2 2 3 6 2 3" xfId="11910" xr:uid="{0FF0588B-7D03-49CA-9BB4-6E84274F7B88}"/>
    <cellStyle name="Normal 4 2 2 3 6 3" xfId="5544" xr:uid="{00000000-0005-0000-0000-000087120000}"/>
    <cellStyle name="Normal 4 2 2 3 6 3 2" xfId="13983" xr:uid="{07B4FFEA-9B99-4325-8E89-38FF5DDE0E35}"/>
    <cellStyle name="Normal 4 2 2 3 6 4" xfId="9765" xr:uid="{51FBDC69-8F1C-4401-A3CD-85AE9F8F52B3}"/>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D3718017-413C-40F9-B6AA-FE14D4C9DFA4}"/>
    <cellStyle name="Normal 4 2 2 3 7 2 3" xfId="12323" xr:uid="{717FC9D2-F159-4A4C-B7CE-42BF189065FD}"/>
    <cellStyle name="Normal 4 2 2 3 7 3" xfId="5957" xr:uid="{00000000-0005-0000-0000-00008B120000}"/>
    <cellStyle name="Normal 4 2 2 3 7 3 2" xfId="14396" xr:uid="{1583D836-818F-4893-AA60-4CECAC8A9DCA}"/>
    <cellStyle name="Normal 4 2 2 3 7 4" xfId="10178" xr:uid="{7EE2871E-3CE8-464F-875B-873DEAF0B534}"/>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AD2B09A6-28FB-4C43-AF38-627B1698472A}"/>
    <cellStyle name="Normal 4 2 2 3 8 2 3" xfId="12736" xr:uid="{0EE9F3F2-A9A1-46F7-8D21-62D05BB2B634}"/>
    <cellStyle name="Normal 4 2 2 3 8 3" xfId="6370" xr:uid="{00000000-0005-0000-0000-00008F120000}"/>
    <cellStyle name="Normal 4 2 2 3 8 3 2" xfId="14809" xr:uid="{FBFECAED-7CC9-4EE7-8F50-32BAFD049B4B}"/>
    <cellStyle name="Normal 4 2 2 3 8 4" xfId="10591" xr:uid="{E08A2A93-5839-45B1-931E-ABC8049D731C}"/>
    <cellStyle name="Normal 4 2 2 3 9" xfId="2499" xr:uid="{00000000-0005-0000-0000-000090120000}"/>
    <cellStyle name="Normal 4 2 2 3 9 2" xfId="6783" xr:uid="{00000000-0005-0000-0000-000091120000}"/>
    <cellStyle name="Normal 4 2 2 3 9 2 2" xfId="15222" xr:uid="{B349470B-E6DF-45B0-897D-406DF7E5FAD4}"/>
    <cellStyle name="Normal 4 2 2 3 9 3" xfId="11004" xr:uid="{718939D8-2CA4-44A2-9BDD-D76F558189F5}"/>
    <cellStyle name="Normal 4 2 2 4" xfId="347" xr:uid="{00000000-0005-0000-0000-000092120000}"/>
    <cellStyle name="Normal 4 2 2 4 10" xfId="8947" xr:uid="{58C88679-C546-4DC0-B9AE-AF5B7A39FE42}"/>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AB7765FF-819E-426B-A3C7-7D83CEA3CDFE}"/>
    <cellStyle name="Normal 4 2 2 4 2 2 2 2 3" xfId="11507" xr:uid="{B6305F6F-F696-4539-8C9D-6DFD1051209C}"/>
    <cellStyle name="Normal 4 2 2 4 2 2 2 3" xfId="5141" xr:uid="{00000000-0005-0000-0000-000098120000}"/>
    <cellStyle name="Normal 4 2 2 4 2 2 2 3 2" xfId="13580" xr:uid="{D1101515-88DC-4AFD-8690-6FF3DB238657}"/>
    <cellStyle name="Normal 4 2 2 4 2 2 2 4" xfId="9362" xr:uid="{D8A9FC55-D6F8-4971-AD04-73BB8BEB5EAF}"/>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9E7C8158-B648-4C50-AC21-6BE1865A8880}"/>
    <cellStyle name="Normal 4 2 2 4 2 2 3 2 3" xfId="11920" xr:uid="{FC23D279-0816-4FEB-9F2B-AFEFDB0D68E0}"/>
    <cellStyle name="Normal 4 2 2 4 2 2 3 3" xfId="5554" xr:uid="{00000000-0005-0000-0000-00009C120000}"/>
    <cellStyle name="Normal 4 2 2 4 2 2 3 3 2" xfId="13993" xr:uid="{23406E36-C673-4F71-A317-95CDE712182E}"/>
    <cellStyle name="Normal 4 2 2 4 2 2 3 4" xfId="9775" xr:uid="{16A55FAC-E074-4068-A156-72ABC4D7CC72}"/>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B2049F64-1B5D-4068-B882-A683FE475356}"/>
    <cellStyle name="Normal 4 2 2 4 2 2 4 2 3" xfId="12333" xr:uid="{6BC9F8F9-61C9-4600-8EA4-2DA225A1FA94}"/>
    <cellStyle name="Normal 4 2 2 4 2 2 4 3" xfId="5967" xr:uid="{00000000-0005-0000-0000-0000A0120000}"/>
    <cellStyle name="Normal 4 2 2 4 2 2 4 3 2" xfId="14406" xr:uid="{C073F8F8-08DE-4FB6-A026-7662413CEBE1}"/>
    <cellStyle name="Normal 4 2 2 4 2 2 4 4" xfId="10188" xr:uid="{9A717767-E3C1-4925-BDAF-22CD6A1BF174}"/>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901F8892-CF9E-448B-9CF6-5ED27E17670E}"/>
    <cellStyle name="Normal 4 2 2 4 2 2 5 2 3" xfId="12746" xr:uid="{2117B2CA-6169-4C06-94C8-1FEB31F522C3}"/>
    <cellStyle name="Normal 4 2 2 4 2 2 5 3" xfId="6380" xr:uid="{00000000-0005-0000-0000-0000A4120000}"/>
    <cellStyle name="Normal 4 2 2 4 2 2 5 3 2" xfId="14819" xr:uid="{40B06E4F-452E-4D36-8DEE-2793AD698612}"/>
    <cellStyle name="Normal 4 2 2 4 2 2 5 4" xfId="10601" xr:uid="{EE71824C-57AF-4D2D-9467-9739540B5181}"/>
    <cellStyle name="Normal 4 2 2 4 2 2 6" xfId="2509" xr:uid="{00000000-0005-0000-0000-0000A5120000}"/>
    <cellStyle name="Normal 4 2 2 4 2 2 6 2" xfId="6793" xr:uid="{00000000-0005-0000-0000-0000A6120000}"/>
    <cellStyle name="Normal 4 2 2 4 2 2 6 2 2" xfId="15232" xr:uid="{DE316BFC-6651-4E8A-9155-33BA1F7FFA68}"/>
    <cellStyle name="Normal 4 2 2 4 2 2 6 3" xfId="11014" xr:uid="{3417AF64-365E-409C-8D3C-3B146D2EC010}"/>
    <cellStyle name="Normal 4 2 2 4 2 2 7" xfId="4728" xr:uid="{00000000-0005-0000-0000-0000A7120000}"/>
    <cellStyle name="Normal 4 2 2 4 2 2 7 2" xfId="13167" xr:uid="{9EBE524A-F890-422B-B0C9-0F2795811CA6}"/>
    <cellStyle name="Normal 4 2 2 4 2 2 8" xfId="8949" xr:uid="{4B67893A-DBAF-4858-8F67-48A9A910D889}"/>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CE8FCA30-FF2A-43B3-91AC-175D214CE120}"/>
    <cellStyle name="Normal 4 2 2 4 2 3 2 3" xfId="11506" xr:uid="{95515FBE-D640-4FEB-B3A3-A1CAF6655CE4}"/>
    <cellStyle name="Normal 4 2 2 4 2 3 3" xfId="5140" xr:uid="{00000000-0005-0000-0000-0000AB120000}"/>
    <cellStyle name="Normal 4 2 2 4 2 3 3 2" xfId="13579" xr:uid="{AEC8E7D9-A3ED-4F85-A099-430FFBCC82EB}"/>
    <cellStyle name="Normal 4 2 2 4 2 3 4" xfId="9361" xr:uid="{C82F31D5-97EB-43C1-AF03-6EDD60574B61}"/>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F63E441F-24D3-4631-8528-CE19EF4A7880}"/>
    <cellStyle name="Normal 4 2 2 4 2 4 2 3" xfId="11919" xr:uid="{451715E7-BD22-4507-9A72-7DFA7B11E7BB}"/>
    <cellStyle name="Normal 4 2 2 4 2 4 3" xfId="5553" xr:uid="{00000000-0005-0000-0000-0000AF120000}"/>
    <cellStyle name="Normal 4 2 2 4 2 4 3 2" xfId="13992" xr:uid="{8755FFA8-B3B2-4FC3-B288-9C8D3E091C25}"/>
    <cellStyle name="Normal 4 2 2 4 2 4 4" xfId="9774" xr:uid="{031EAA27-229C-4513-850C-1BB036AA9D9F}"/>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910A373F-DA7C-4D7A-891B-B54E45F9E7E8}"/>
    <cellStyle name="Normal 4 2 2 4 2 5 2 3" xfId="12332" xr:uid="{FED52669-1042-4431-BC10-926B7166769E}"/>
    <cellStyle name="Normal 4 2 2 4 2 5 3" xfId="5966" xr:uid="{00000000-0005-0000-0000-0000B3120000}"/>
    <cellStyle name="Normal 4 2 2 4 2 5 3 2" xfId="14405" xr:uid="{ED919FCF-F039-4C64-BF70-A58CE22AEFCB}"/>
    <cellStyle name="Normal 4 2 2 4 2 5 4" xfId="10187" xr:uid="{7D23BB90-47CA-4FE7-A527-5DDDBF84518E}"/>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F19BBE70-4E87-4BA3-9DA0-D9682803397E}"/>
    <cellStyle name="Normal 4 2 2 4 2 6 2 3" xfId="12745" xr:uid="{D122906C-CB9A-4846-8FFD-1F975E0EACC7}"/>
    <cellStyle name="Normal 4 2 2 4 2 6 3" xfId="6379" xr:uid="{00000000-0005-0000-0000-0000B7120000}"/>
    <cellStyle name="Normal 4 2 2 4 2 6 3 2" xfId="14818" xr:uid="{DC8AF053-EC19-4A67-A47F-4287DF551312}"/>
    <cellStyle name="Normal 4 2 2 4 2 6 4" xfId="10600" xr:uid="{833E59CE-236D-4156-8EAF-782D98C77505}"/>
    <cellStyle name="Normal 4 2 2 4 2 7" xfId="2508" xr:uid="{00000000-0005-0000-0000-0000B8120000}"/>
    <cellStyle name="Normal 4 2 2 4 2 7 2" xfId="6792" xr:uid="{00000000-0005-0000-0000-0000B9120000}"/>
    <cellStyle name="Normal 4 2 2 4 2 7 2 2" xfId="15231" xr:uid="{B0B1E17E-967C-4212-BAAE-6A0A702C601C}"/>
    <cellStyle name="Normal 4 2 2 4 2 7 3" xfId="11013" xr:uid="{2DF93575-D9B5-47C8-B278-F35F7DEB1997}"/>
    <cellStyle name="Normal 4 2 2 4 2 8" xfId="4727" xr:uid="{00000000-0005-0000-0000-0000BA120000}"/>
    <cellStyle name="Normal 4 2 2 4 2 8 2" xfId="13166" xr:uid="{EE03FA40-132E-4E79-B3FF-B48EDDF00421}"/>
    <cellStyle name="Normal 4 2 2 4 2 9" xfId="8948" xr:uid="{74C7017B-7A41-43B8-AB81-6B62BFB74494}"/>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7FCD1881-44DD-40EE-A735-CDF36524AC31}"/>
    <cellStyle name="Normal 4 2 2 4 3 2 2 3" xfId="11508" xr:uid="{8951D444-5C11-40E4-93A1-04B68C2EE5F0}"/>
    <cellStyle name="Normal 4 2 2 4 3 2 3" xfId="5142" xr:uid="{00000000-0005-0000-0000-0000BF120000}"/>
    <cellStyle name="Normal 4 2 2 4 3 2 3 2" xfId="13581" xr:uid="{B2BC00B5-E089-4419-A564-71961F96976C}"/>
    <cellStyle name="Normal 4 2 2 4 3 2 4" xfId="9363" xr:uid="{BFE466A4-4E65-4F36-84ED-6DD8ED7BF73E}"/>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197AEBC1-AC37-4753-AD8D-C39648F9C0EC}"/>
    <cellStyle name="Normal 4 2 2 4 3 3 2 3" xfId="11921" xr:uid="{1EB1BA69-8C35-4AF0-960F-E79A2B647CE6}"/>
    <cellStyle name="Normal 4 2 2 4 3 3 3" xfId="5555" xr:uid="{00000000-0005-0000-0000-0000C3120000}"/>
    <cellStyle name="Normal 4 2 2 4 3 3 3 2" xfId="13994" xr:uid="{901EE1AB-49D0-408E-8333-838CA7935D15}"/>
    <cellStyle name="Normal 4 2 2 4 3 3 4" xfId="9776" xr:uid="{6668AEC7-AE44-44DC-8C69-479E42736942}"/>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1A280D12-DF07-4C7E-B758-24E776FBF9E6}"/>
    <cellStyle name="Normal 4 2 2 4 3 4 2 3" xfId="12334" xr:uid="{6BCD28DD-09AC-48A0-881F-88E3D2D461C3}"/>
    <cellStyle name="Normal 4 2 2 4 3 4 3" xfId="5968" xr:uid="{00000000-0005-0000-0000-0000C7120000}"/>
    <cellStyle name="Normal 4 2 2 4 3 4 3 2" xfId="14407" xr:uid="{4E4F3D25-186E-4573-BBB2-206E80F636F7}"/>
    <cellStyle name="Normal 4 2 2 4 3 4 4" xfId="10189" xr:uid="{2B36234A-F499-41F0-B1B5-E5ABC9F6C067}"/>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ADF62463-0710-494C-9A69-451612D598A0}"/>
    <cellStyle name="Normal 4 2 2 4 3 5 2 3" xfId="12747" xr:uid="{F505E2F0-C392-4A43-8AC1-13BFB3EBF1BD}"/>
    <cellStyle name="Normal 4 2 2 4 3 5 3" xfId="6381" xr:uid="{00000000-0005-0000-0000-0000CB120000}"/>
    <cellStyle name="Normal 4 2 2 4 3 5 3 2" xfId="14820" xr:uid="{B6BDCEFF-F46F-4EAB-97A4-6B62B874EC31}"/>
    <cellStyle name="Normal 4 2 2 4 3 5 4" xfId="10602" xr:uid="{16449047-C499-4509-A8D0-E99DFDA1535A}"/>
    <cellStyle name="Normal 4 2 2 4 3 6" xfId="2510" xr:uid="{00000000-0005-0000-0000-0000CC120000}"/>
    <cellStyle name="Normal 4 2 2 4 3 6 2" xfId="6794" xr:uid="{00000000-0005-0000-0000-0000CD120000}"/>
    <cellStyle name="Normal 4 2 2 4 3 6 2 2" xfId="15233" xr:uid="{00897A0B-CB8D-46D4-B6C3-8FAD6A0D40F9}"/>
    <cellStyle name="Normal 4 2 2 4 3 6 3" xfId="11015" xr:uid="{9D7E383F-C7AF-4EAD-BC10-82AC8E4EAA25}"/>
    <cellStyle name="Normal 4 2 2 4 3 7" xfId="4729" xr:uid="{00000000-0005-0000-0000-0000CE120000}"/>
    <cellStyle name="Normal 4 2 2 4 3 7 2" xfId="13168" xr:uid="{96AA5F95-6B70-4118-A353-96C75A13BE2E}"/>
    <cellStyle name="Normal 4 2 2 4 3 8" xfId="8950" xr:uid="{26F9FD54-FBD5-423C-B911-52A151578EF4}"/>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ABBDA617-358D-4F61-BCA2-8CA8BB2B0F9B}"/>
    <cellStyle name="Normal 4 2 2 4 4 2 3" xfId="11505" xr:uid="{8A01D229-ACB4-4BAD-88E8-6D3A213485DC}"/>
    <cellStyle name="Normal 4 2 2 4 4 3" xfId="5139" xr:uid="{00000000-0005-0000-0000-0000D2120000}"/>
    <cellStyle name="Normal 4 2 2 4 4 3 2" xfId="13578" xr:uid="{D96F1387-6032-4AB3-A905-1983CC4E2131}"/>
    <cellStyle name="Normal 4 2 2 4 4 4" xfId="9360" xr:uid="{377084DB-CD73-44EC-954B-C18F76B17824}"/>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378A1F02-00C4-41A1-9AD2-BB7FDB7BE06F}"/>
    <cellStyle name="Normal 4 2 2 4 5 2 3" xfId="11918" xr:uid="{2E5F6B1C-557B-431F-98E9-5FD556CB5DCB}"/>
    <cellStyle name="Normal 4 2 2 4 5 3" xfId="5552" xr:uid="{00000000-0005-0000-0000-0000D6120000}"/>
    <cellStyle name="Normal 4 2 2 4 5 3 2" xfId="13991" xr:uid="{A2D736E1-BD73-4A24-AC35-C221B9DACBFA}"/>
    <cellStyle name="Normal 4 2 2 4 5 4" xfId="9773" xr:uid="{3CAA3EBD-1984-4D67-9433-FCDAF19EBA21}"/>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D431862A-0167-48CD-8D3B-2E4F6AEDDA60}"/>
    <cellStyle name="Normal 4 2 2 4 6 2 3" xfId="12331" xr:uid="{3D64823D-6E75-4B0F-843D-32976F4FF703}"/>
    <cellStyle name="Normal 4 2 2 4 6 3" xfId="5965" xr:uid="{00000000-0005-0000-0000-0000DA120000}"/>
    <cellStyle name="Normal 4 2 2 4 6 3 2" xfId="14404" xr:uid="{DA3B1B26-56A2-4D54-8E30-D07F35856483}"/>
    <cellStyle name="Normal 4 2 2 4 6 4" xfId="10186" xr:uid="{911C65B5-286E-4A67-A856-70DBEE40E5C9}"/>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A97F4806-E4E6-4827-8930-88FE1F7E8FC6}"/>
    <cellStyle name="Normal 4 2 2 4 7 2 3" xfId="12744" xr:uid="{7C5DD299-562B-4780-A9C5-10B0F864A533}"/>
    <cellStyle name="Normal 4 2 2 4 7 3" xfId="6378" xr:uid="{00000000-0005-0000-0000-0000DE120000}"/>
    <cellStyle name="Normal 4 2 2 4 7 3 2" xfId="14817" xr:uid="{69BB9981-E40B-4D0D-9690-2F21830F74E4}"/>
    <cellStyle name="Normal 4 2 2 4 7 4" xfId="10599" xr:uid="{ED190B1E-D8AE-4696-8769-3B074C8C149F}"/>
    <cellStyle name="Normal 4 2 2 4 8" xfId="2507" xr:uid="{00000000-0005-0000-0000-0000DF120000}"/>
    <cellStyle name="Normal 4 2 2 4 8 2" xfId="6791" xr:uid="{00000000-0005-0000-0000-0000E0120000}"/>
    <cellStyle name="Normal 4 2 2 4 8 2 2" xfId="15230" xr:uid="{03AB726A-889D-4562-91F6-56E69ED783D8}"/>
    <cellStyle name="Normal 4 2 2 4 8 3" xfId="11012" xr:uid="{BA2EB4A8-EAAF-42B1-B9BE-DA415FEBA7A4}"/>
    <cellStyle name="Normal 4 2 2 4 9" xfId="4726" xr:uid="{00000000-0005-0000-0000-0000E1120000}"/>
    <cellStyle name="Normal 4 2 2 4 9 2" xfId="13165" xr:uid="{19751AD0-D9DE-4E4A-AC21-3C935D6A8B4D}"/>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534B65C4-8E64-43FE-AA72-E7767143DC31}"/>
    <cellStyle name="Normal 4 2 2 5 2 2 2 3" xfId="11510" xr:uid="{A95B9A9A-89EF-40EC-B99C-E0679C458FA3}"/>
    <cellStyle name="Normal 4 2 2 5 2 2 3" xfId="5144" xr:uid="{00000000-0005-0000-0000-0000E7120000}"/>
    <cellStyle name="Normal 4 2 2 5 2 2 3 2" xfId="13583" xr:uid="{D1532C80-3AB2-46F1-9013-4EE848A70C79}"/>
    <cellStyle name="Normal 4 2 2 5 2 2 4" xfId="9365" xr:uid="{E23C83D1-A239-48F7-AD4F-B2FE2EAADDC2}"/>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A613582E-2F34-4F87-8137-591990CEAAD4}"/>
    <cellStyle name="Normal 4 2 2 5 2 3 2 3" xfId="11923" xr:uid="{77B11C9D-17F0-4EA5-AC47-F73BAAC17C81}"/>
    <cellStyle name="Normal 4 2 2 5 2 3 3" xfId="5557" xr:uid="{00000000-0005-0000-0000-0000EB120000}"/>
    <cellStyle name="Normal 4 2 2 5 2 3 3 2" xfId="13996" xr:uid="{246D95A6-8791-47DC-8284-11859D2DD059}"/>
    <cellStyle name="Normal 4 2 2 5 2 3 4" xfId="9778" xr:uid="{991AD962-1B7C-4C30-B658-4689A5FDABF1}"/>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5657B02C-FB7B-4817-A397-39F8707DA220}"/>
    <cellStyle name="Normal 4 2 2 5 2 4 2 3" xfId="12336" xr:uid="{E50CB239-4044-4008-BDA8-1ED93581C833}"/>
    <cellStyle name="Normal 4 2 2 5 2 4 3" xfId="5970" xr:uid="{00000000-0005-0000-0000-0000EF120000}"/>
    <cellStyle name="Normal 4 2 2 5 2 4 3 2" xfId="14409" xr:uid="{ECED39CC-B5BA-4D10-B663-FAD252EB0E85}"/>
    <cellStyle name="Normal 4 2 2 5 2 4 4" xfId="10191" xr:uid="{177F8E6D-E5EB-48CC-9EE7-0109E97F7846}"/>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A27D2A44-E3F4-4A25-9CB7-FC816CD48AE0}"/>
    <cellStyle name="Normal 4 2 2 5 2 5 2 3" xfId="12749" xr:uid="{D8B297AA-AF91-4EE6-BC5B-189309C20DF2}"/>
    <cellStyle name="Normal 4 2 2 5 2 5 3" xfId="6383" xr:uid="{00000000-0005-0000-0000-0000F3120000}"/>
    <cellStyle name="Normal 4 2 2 5 2 5 3 2" xfId="14822" xr:uid="{2B181436-B0AA-495D-9E2F-1D76FC7F24FF}"/>
    <cellStyle name="Normal 4 2 2 5 2 5 4" xfId="10604" xr:uid="{0792D720-ADBF-4B4F-AE8B-3AD706F8AC58}"/>
    <cellStyle name="Normal 4 2 2 5 2 6" xfId="2512" xr:uid="{00000000-0005-0000-0000-0000F4120000}"/>
    <cellStyle name="Normal 4 2 2 5 2 6 2" xfId="6796" xr:uid="{00000000-0005-0000-0000-0000F5120000}"/>
    <cellStyle name="Normal 4 2 2 5 2 6 2 2" xfId="15235" xr:uid="{7157AA6A-F4B5-40DC-A320-6FFDD58D3F10}"/>
    <cellStyle name="Normal 4 2 2 5 2 6 3" xfId="11017" xr:uid="{0AB5A61C-C4E1-46F5-BA78-A6B8120099A3}"/>
    <cellStyle name="Normal 4 2 2 5 2 7" xfId="4731" xr:uid="{00000000-0005-0000-0000-0000F6120000}"/>
    <cellStyle name="Normal 4 2 2 5 2 7 2" xfId="13170" xr:uid="{C6D7EEF4-C1F6-4F03-8D0A-E0EC44B8217D}"/>
    <cellStyle name="Normal 4 2 2 5 2 8" xfId="8952" xr:uid="{C8540419-2E4D-4804-9431-A44EB2E924AB}"/>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3541C001-CE44-4985-96FA-C109057D9849}"/>
    <cellStyle name="Normal 4 2 2 5 3 2 3" xfId="11509" xr:uid="{174B2AE5-FE68-4BFE-90FB-348C6CEB62E4}"/>
    <cellStyle name="Normal 4 2 2 5 3 3" xfId="5143" xr:uid="{00000000-0005-0000-0000-0000FA120000}"/>
    <cellStyle name="Normal 4 2 2 5 3 3 2" xfId="13582" xr:uid="{36D027B2-8C8A-458D-B498-6ECD25F5755A}"/>
    <cellStyle name="Normal 4 2 2 5 3 4" xfId="9364" xr:uid="{2173B6AF-92B5-4D3A-978A-868FA3A8F870}"/>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620DE531-78BA-454D-B054-3D19B8D4DD4E}"/>
    <cellStyle name="Normal 4 2 2 5 4 2 3" xfId="11922" xr:uid="{87D3B4C6-3F49-4CBA-B4FC-213367111947}"/>
    <cellStyle name="Normal 4 2 2 5 4 3" xfId="5556" xr:uid="{00000000-0005-0000-0000-0000FE120000}"/>
    <cellStyle name="Normal 4 2 2 5 4 3 2" xfId="13995" xr:uid="{AFE73089-D32E-4034-9946-9817109CB4BF}"/>
    <cellStyle name="Normal 4 2 2 5 4 4" xfId="9777" xr:uid="{555244B1-962A-47DA-B578-85D21B482EF9}"/>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9C1C8AA8-95BF-4BE7-B3AB-11AE324B0C97}"/>
    <cellStyle name="Normal 4 2 2 5 5 2 3" xfId="12335" xr:uid="{76E8D056-98E4-4827-B240-3C906E45F368}"/>
    <cellStyle name="Normal 4 2 2 5 5 3" xfId="5969" xr:uid="{00000000-0005-0000-0000-000002130000}"/>
    <cellStyle name="Normal 4 2 2 5 5 3 2" xfId="14408" xr:uid="{D251428B-D27E-4152-B284-CD2E7795BE8F}"/>
    <cellStyle name="Normal 4 2 2 5 5 4" xfId="10190" xr:uid="{2CF51A2E-3139-4829-BC98-16478399F8A1}"/>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3C24DCF9-222A-4C6B-A82E-DC060FADCAE6}"/>
    <cellStyle name="Normal 4 2 2 5 6 2 3" xfId="12748" xr:uid="{6529A992-4817-430B-8D5C-019BFDD1DF82}"/>
    <cellStyle name="Normal 4 2 2 5 6 3" xfId="6382" xr:uid="{00000000-0005-0000-0000-000006130000}"/>
    <cellStyle name="Normal 4 2 2 5 6 3 2" xfId="14821" xr:uid="{724E6032-8915-4C19-96A5-D51BC1521861}"/>
    <cellStyle name="Normal 4 2 2 5 6 4" xfId="10603" xr:uid="{C2B4C588-433A-40B5-BAB8-F7DA355F0DDC}"/>
    <cellStyle name="Normal 4 2 2 5 7" xfId="2511" xr:uid="{00000000-0005-0000-0000-000007130000}"/>
    <cellStyle name="Normal 4 2 2 5 7 2" xfId="6795" xr:uid="{00000000-0005-0000-0000-000008130000}"/>
    <cellStyle name="Normal 4 2 2 5 7 2 2" xfId="15234" xr:uid="{8E1DB176-CCE9-4ACA-892F-DAFB13690A4D}"/>
    <cellStyle name="Normal 4 2 2 5 7 3" xfId="11016" xr:uid="{A5D783C2-5FD5-423F-870F-872422875A5E}"/>
    <cellStyle name="Normal 4 2 2 5 8" xfId="4730" xr:uid="{00000000-0005-0000-0000-000009130000}"/>
    <cellStyle name="Normal 4 2 2 5 8 2" xfId="13169" xr:uid="{71AE69D0-5BB9-4928-8B3A-02DB9386C72A}"/>
    <cellStyle name="Normal 4 2 2 5 9" xfId="8951" xr:uid="{73E2742A-1F6D-4EAF-BD05-D791936CFA0F}"/>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33974CDA-B252-45E4-A957-B56021A7F3AA}"/>
    <cellStyle name="Normal 4 2 2 6 2 2 3" xfId="11511" xr:uid="{4E318542-7C59-4980-9332-ED32847FF3D5}"/>
    <cellStyle name="Normal 4 2 2 6 2 3" xfId="5145" xr:uid="{00000000-0005-0000-0000-00000E130000}"/>
    <cellStyle name="Normal 4 2 2 6 2 3 2" xfId="13584" xr:uid="{30BD1F21-421C-44D1-9155-C71812B41A35}"/>
    <cellStyle name="Normal 4 2 2 6 2 4" xfId="9366" xr:uid="{80CF4B87-6AFC-4978-88D8-84EDEA16764E}"/>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3EC1B760-C5F4-4E61-846E-9224842DD6ED}"/>
    <cellStyle name="Normal 4 2 2 6 3 2 3" xfId="11924" xr:uid="{2FBBA065-B3FF-4F0E-B93F-39789BFBFA3B}"/>
    <cellStyle name="Normal 4 2 2 6 3 3" xfId="5558" xr:uid="{00000000-0005-0000-0000-000012130000}"/>
    <cellStyle name="Normal 4 2 2 6 3 3 2" xfId="13997" xr:uid="{1C96C832-0B3E-4184-BF34-A10980C142F3}"/>
    <cellStyle name="Normal 4 2 2 6 3 4" xfId="9779" xr:uid="{B7CBE3AB-5065-4AE4-9023-986B5AB46156}"/>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62D161C2-FBAE-450E-A9C1-8A5F0C59727B}"/>
    <cellStyle name="Normal 4 2 2 6 4 2 3" xfId="12337" xr:uid="{A8A06A9A-27C0-482D-AEBA-A0D461CE251B}"/>
    <cellStyle name="Normal 4 2 2 6 4 3" xfId="5971" xr:uid="{00000000-0005-0000-0000-000016130000}"/>
    <cellStyle name="Normal 4 2 2 6 4 3 2" xfId="14410" xr:uid="{0D452677-4811-4CB1-B30C-4DA8B7C79416}"/>
    <cellStyle name="Normal 4 2 2 6 4 4" xfId="10192" xr:uid="{00BB9DD8-BB0B-4381-98BF-7ED924F79F63}"/>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FC838468-DA42-403A-921C-9D10B303FDE5}"/>
    <cellStyle name="Normal 4 2 2 6 5 2 3" xfId="12750" xr:uid="{3CC0FF7B-6B5B-401C-86D4-16A1AD253423}"/>
    <cellStyle name="Normal 4 2 2 6 5 3" xfId="6384" xr:uid="{00000000-0005-0000-0000-00001A130000}"/>
    <cellStyle name="Normal 4 2 2 6 5 3 2" xfId="14823" xr:uid="{3A8E14F9-EADD-437C-8A98-FCE3B773BBBE}"/>
    <cellStyle name="Normal 4 2 2 6 5 4" xfId="10605" xr:uid="{EE29BE40-4057-4780-85B2-19D1F899A28B}"/>
    <cellStyle name="Normal 4 2 2 6 6" xfId="2513" xr:uid="{00000000-0005-0000-0000-00001B130000}"/>
    <cellStyle name="Normal 4 2 2 6 6 2" xfId="6797" xr:uid="{00000000-0005-0000-0000-00001C130000}"/>
    <cellStyle name="Normal 4 2 2 6 6 2 2" xfId="15236" xr:uid="{72DEFB0F-81E7-4EBB-B182-F979F2D9EB1F}"/>
    <cellStyle name="Normal 4 2 2 6 6 3" xfId="11018" xr:uid="{C03F8E7D-3C25-4645-8E3A-A0B75ED878E9}"/>
    <cellStyle name="Normal 4 2 2 6 7" xfId="4732" xr:uid="{00000000-0005-0000-0000-00001D130000}"/>
    <cellStyle name="Normal 4 2 2 6 7 2" xfId="13171" xr:uid="{F920B991-E103-44C6-B264-23D582FDB1F8}"/>
    <cellStyle name="Normal 4 2 2 6 8" xfId="8953" xr:uid="{CE56D613-11A0-4400-9110-C73BA9BFFBBE}"/>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8CD66D66-7A81-4A68-AEAF-68D9EC937C73}"/>
    <cellStyle name="Normal 4 2 2 7 2 3" xfId="11496" xr:uid="{41D3E010-A237-472F-B714-E8FFF64D2B8B}"/>
    <cellStyle name="Normal 4 2 2 7 3" xfId="5130" xr:uid="{00000000-0005-0000-0000-000021130000}"/>
    <cellStyle name="Normal 4 2 2 7 3 2" xfId="13569" xr:uid="{9C0E723D-ED0A-4890-833B-2A8D068EDEB8}"/>
    <cellStyle name="Normal 4 2 2 7 4" xfId="9351" xr:uid="{65FCC063-86BB-4B09-9524-7615F42A1195}"/>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0AFEB1E6-0207-44B4-B595-10134BD5C5F9}"/>
    <cellStyle name="Normal 4 2 2 8 2 3" xfId="11909" xr:uid="{9900A675-2679-44C3-A0C4-0250E95C79DA}"/>
    <cellStyle name="Normal 4 2 2 8 3" xfId="5543" xr:uid="{00000000-0005-0000-0000-000025130000}"/>
    <cellStyle name="Normal 4 2 2 8 3 2" xfId="13982" xr:uid="{972AB9A8-B71B-49AF-9333-94AB45A9D091}"/>
    <cellStyle name="Normal 4 2 2 8 4" xfId="9764" xr:uid="{3E566C57-567D-4E2B-8036-AB2F24D3D76E}"/>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2305E0B7-303D-47BE-8867-B61E922165A0}"/>
    <cellStyle name="Normal 4 2 2 9 2 3" xfId="12322" xr:uid="{CAD1ED01-9A60-42E6-929A-E398AAF62F7B}"/>
    <cellStyle name="Normal 4 2 2 9 3" xfId="5956" xr:uid="{00000000-0005-0000-0000-000029130000}"/>
    <cellStyle name="Normal 4 2 2 9 3 2" xfId="14395" xr:uid="{F550E469-7304-4756-A9E2-353751822B42}"/>
    <cellStyle name="Normal 4 2 2 9 4" xfId="10177" xr:uid="{2E8F855C-70DE-4FB4-80AC-4A66BEAD1967}"/>
    <cellStyle name="Normal 4 2 3" xfId="354" xr:uid="{00000000-0005-0000-0000-00002A130000}"/>
    <cellStyle name="Normal 4 2 4" xfId="355" xr:uid="{00000000-0005-0000-0000-00002B130000}"/>
    <cellStyle name="Normal 4 2 4 10" xfId="4733" xr:uid="{00000000-0005-0000-0000-00002C130000}"/>
    <cellStyle name="Normal 4 2 4 10 2" xfId="13172" xr:uid="{5D46E2A6-E1F3-4B81-AB28-D994C807A965}"/>
    <cellStyle name="Normal 4 2 4 11" xfId="8954" xr:uid="{DD906221-74B9-44D6-B228-D6892D8ED587}"/>
    <cellStyle name="Normal 4 2 4 2" xfId="356" xr:uid="{00000000-0005-0000-0000-00002D130000}"/>
    <cellStyle name="Normal 4 2 4 2 10" xfId="8955" xr:uid="{C161F669-41FE-4F59-9D0A-EE460983BE34}"/>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29046551-8E6A-4BC0-A7FA-2AEC29B434F6}"/>
    <cellStyle name="Normal 4 2 4 2 2 2 2 2 3" xfId="11515" xr:uid="{37324A09-BE2F-4F6E-ABC8-CDD3C9139C13}"/>
    <cellStyle name="Normal 4 2 4 2 2 2 2 3" xfId="5149" xr:uid="{00000000-0005-0000-0000-000033130000}"/>
    <cellStyle name="Normal 4 2 4 2 2 2 2 3 2" xfId="13588" xr:uid="{4B6C103B-BB47-4F1F-AB78-43224BAA9E29}"/>
    <cellStyle name="Normal 4 2 4 2 2 2 2 4" xfId="9370" xr:uid="{D9766164-2868-4939-9D60-30B52338F9BF}"/>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4FED60B4-06C4-4B64-BA50-4E31E9EADAFC}"/>
    <cellStyle name="Normal 4 2 4 2 2 2 3 2 3" xfId="11928" xr:uid="{07A15402-960D-4C55-8D1E-3D5700B19C89}"/>
    <cellStyle name="Normal 4 2 4 2 2 2 3 3" xfId="5562" xr:uid="{00000000-0005-0000-0000-000037130000}"/>
    <cellStyle name="Normal 4 2 4 2 2 2 3 3 2" xfId="14001" xr:uid="{48EE4F47-BA6D-4754-9FA5-6328C2EFA101}"/>
    <cellStyle name="Normal 4 2 4 2 2 2 3 4" xfId="9783" xr:uid="{CC48C976-719F-4518-9828-3F594FC8F45C}"/>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C2F55669-8173-4A19-B377-476197C95D54}"/>
    <cellStyle name="Normal 4 2 4 2 2 2 4 2 3" xfId="12341" xr:uid="{F4BECF1F-D61D-4C74-AEA4-D819E92B3646}"/>
    <cellStyle name="Normal 4 2 4 2 2 2 4 3" xfId="5975" xr:uid="{00000000-0005-0000-0000-00003B130000}"/>
    <cellStyle name="Normal 4 2 4 2 2 2 4 3 2" xfId="14414" xr:uid="{D84D7B93-AC0E-47D6-B5AE-4B2B86B81A45}"/>
    <cellStyle name="Normal 4 2 4 2 2 2 4 4" xfId="10196" xr:uid="{B0C021EF-461E-41BF-B76E-5E3FD170695B}"/>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F284FEB5-FC16-45D1-B91E-EF2F5AB0B917}"/>
    <cellStyle name="Normal 4 2 4 2 2 2 5 2 3" xfId="12754" xr:uid="{541C9B3E-F444-4A96-B83C-C654CD8F5214}"/>
    <cellStyle name="Normal 4 2 4 2 2 2 5 3" xfId="6388" xr:uid="{00000000-0005-0000-0000-00003F130000}"/>
    <cellStyle name="Normal 4 2 4 2 2 2 5 3 2" xfId="14827" xr:uid="{2C758EB1-84C8-4CC0-984E-125F46D45B41}"/>
    <cellStyle name="Normal 4 2 4 2 2 2 5 4" xfId="10609" xr:uid="{41DBDE08-6A94-40C6-9479-37E9E9E8BA04}"/>
    <cellStyle name="Normal 4 2 4 2 2 2 6" xfId="2517" xr:uid="{00000000-0005-0000-0000-000040130000}"/>
    <cellStyle name="Normal 4 2 4 2 2 2 6 2" xfId="6801" xr:uid="{00000000-0005-0000-0000-000041130000}"/>
    <cellStyle name="Normal 4 2 4 2 2 2 6 2 2" xfId="15240" xr:uid="{05DE4275-B2CD-402C-857A-7CED5ABBE5C5}"/>
    <cellStyle name="Normal 4 2 4 2 2 2 6 3" xfId="11022" xr:uid="{FEA050F9-1E73-4474-95BE-045C5DDF61BB}"/>
    <cellStyle name="Normal 4 2 4 2 2 2 7" xfId="4736" xr:uid="{00000000-0005-0000-0000-000042130000}"/>
    <cellStyle name="Normal 4 2 4 2 2 2 7 2" xfId="13175" xr:uid="{5857C4DC-A303-477E-BE74-D59F263C324F}"/>
    <cellStyle name="Normal 4 2 4 2 2 2 8" xfId="8957" xr:uid="{09C6C957-FCD4-4956-91C7-72EDD900E2D2}"/>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96745BBD-C36B-43FE-81D4-A0AAEF69379F}"/>
    <cellStyle name="Normal 4 2 4 2 2 3 2 3" xfId="11514" xr:uid="{5F4F3BA0-D7D8-410E-ACA0-B49C759FDE51}"/>
    <cellStyle name="Normal 4 2 4 2 2 3 3" xfId="5148" xr:uid="{00000000-0005-0000-0000-000046130000}"/>
    <cellStyle name="Normal 4 2 4 2 2 3 3 2" xfId="13587" xr:uid="{BF1CAD3B-335E-4131-AC46-2BCDCA45360E}"/>
    <cellStyle name="Normal 4 2 4 2 2 3 4" xfId="9369" xr:uid="{9306968A-B70C-4C91-AC2F-B0698212DB04}"/>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39CAAB74-746A-4484-83C5-874B33ABFDE7}"/>
    <cellStyle name="Normal 4 2 4 2 2 4 2 3" xfId="11927" xr:uid="{CDA5D9C9-3AA9-46B7-B0B0-61B124C6DE6B}"/>
    <cellStyle name="Normal 4 2 4 2 2 4 3" xfId="5561" xr:uid="{00000000-0005-0000-0000-00004A130000}"/>
    <cellStyle name="Normal 4 2 4 2 2 4 3 2" xfId="14000" xr:uid="{733A7F68-2242-4CA4-923F-A41B23D63FAF}"/>
    <cellStyle name="Normal 4 2 4 2 2 4 4" xfId="9782" xr:uid="{88BFD637-A9AA-452C-B252-7A5FB7467147}"/>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31F8E53F-D2EE-4AC3-AA75-AB4A815E0C45}"/>
    <cellStyle name="Normal 4 2 4 2 2 5 2 3" xfId="12340" xr:uid="{92747BD1-9929-460D-89F9-BD182B9D8526}"/>
    <cellStyle name="Normal 4 2 4 2 2 5 3" xfId="5974" xr:uid="{00000000-0005-0000-0000-00004E130000}"/>
    <cellStyle name="Normal 4 2 4 2 2 5 3 2" xfId="14413" xr:uid="{8071F05F-31CE-4456-BFC1-25A4E286F3E8}"/>
    <cellStyle name="Normal 4 2 4 2 2 5 4" xfId="10195" xr:uid="{9161DF80-3B0F-4C31-9359-08213B770733}"/>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6B789193-8B80-4025-B5F9-3CD864D73584}"/>
    <cellStyle name="Normal 4 2 4 2 2 6 2 3" xfId="12753" xr:uid="{F3FB6006-F2B9-478B-8F6E-151714F1099B}"/>
    <cellStyle name="Normal 4 2 4 2 2 6 3" xfId="6387" xr:uid="{00000000-0005-0000-0000-000052130000}"/>
    <cellStyle name="Normal 4 2 4 2 2 6 3 2" xfId="14826" xr:uid="{1D824A4D-400D-4913-B0AC-24BA113940B5}"/>
    <cellStyle name="Normal 4 2 4 2 2 6 4" xfId="10608" xr:uid="{F5BE183F-39B9-4EAA-9A77-EE644CD4973B}"/>
    <cellStyle name="Normal 4 2 4 2 2 7" xfId="2516" xr:uid="{00000000-0005-0000-0000-000053130000}"/>
    <cellStyle name="Normal 4 2 4 2 2 7 2" xfId="6800" xr:uid="{00000000-0005-0000-0000-000054130000}"/>
    <cellStyle name="Normal 4 2 4 2 2 7 2 2" xfId="15239" xr:uid="{6CF8FF42-9CEF-4ACF-B965-B64B98E84AFF}"/>
    <cellStyle name="Normal 4 2 4 2 2 7 3" xfId="11021" xr:uid="{B7BC49EC-081B-4AA3-A48B-71CD025B7763}"/>
    <cellStyle name="Normal 4 2 4 2 2 8" xfId="4735" xr:uid="{00000000-0005-0000-0000-000055130000}"/>
    <cellStyle name="Normal 4 2 4 2 2 8 2" xfId="13174" xr:uid="{82B1A80E-74F1-46D1-B428-D9B19259CB2D}"/>
    <cellStyle name="Normal 4 2 4 2 2 9" xfId="8956" xr:uid="{D699C98E-1C8C-4683-968E-A3CE2E286413}"/>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B3C69E1B-CD38-42A1-A2E6-FE803F310F90}"/>
    <cellStyle name="Normal 4 2 4 2 3 2 2 3" xfId="11516" xr:uid="{A25A4CBD-E720-48BF-A74F-A8877E72EDCD}"/>
    <cellStyle name="Normal 4 2 4 2 3 2 3" xfId="5150" xr:uid="{00000000-0005-0000-0000-00005A130000}"/>
    <cellStyle name="Normal 4 2 4 2 3 2 3 2" xfId="13589" xr:uid="{FD5E6BF0-9FA3-43E8-916E-71BDBC182364}"/>
    <cellStyle name="Normal 4 2 4 2 3 2 4" xfId="9371" xr:uid="{A1C44FD0-CCDC-4CA9-ACD1-5C83DA30BDE6}"/>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35535C6C-8A36-4A73-9768-1CAD11FEF26D}"/>
    <cellStyle name="Normal 4 2 4 2 3 3 2 3" xfId="11929" xr:uid="{D6145C22-F920-48DB-9166-5035CAA60A25}"/>
    <cellStyle name="Normal 4 2 4 2 3 3 3" xfId="5563" xr:uid="{00000000-0005-0000-0000-00005E130000}"/>
    <cellStyle name="Normal 4 2 4 2 3 3 3 2" xfId="14002" xr:uid="{9573EB6A-FFE1-4115-B13D-7A72A474FE9E}"/>
    <cellStyle name="Normal 4 2 4 2 3 3 4" xfId="9784" xr:uid="{8C8CE35C-055F-4C55-8CDB-D8919DDFBEF9}"/>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971B6EE2-FB4F-4702-90BE-6E136393A814}"/>
    <cellStyle name="Normal 4 2 4 2 3 4 2 3" xfId="12342" xr:uid="{AAF6628D-87E3-4813-858B-DD7DC2E77AD9}"/>
    <cellStyle name="Normal 4 2 4 2 3 4 3" xfId="5976" xr:uid="{00000000-0005-0000-0000-000062130000}"/>
    <cellStyle name="Normal 4 2 4 2 3 4 3 2" xfId="14415" xr:uid="{7D75D094-0C80-447A-B707-37F8BD1CA213}"/>
    <cellStyle name="Normal 4 2 4 2 3 4 4" xfId="10197" xr:uid="{EFC81F3D-87E4-4485-9C17-A334CECEF3B8}"/>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00471B25-E632-4ED2-9FE4-EF3EDE2E2AC1}"/>
    <cellStyle name="Normal 4 2 4 2 3 5 2 3" xfId="12755" xr:uid="{CF7E9227-DE04-4D73-A58D-BD4CC7A452CB}"/>
    <cellStyle name="Normal 4 2 4 2 3 5 3" xfId="6389" xr:uid="{00000000-0005-0000-0000-000066130000}"/>
    <cellStyle name="Normal 4 2 4 2 3 5 3 2" xfId="14828" xr:uid="{14918C24-6433-4174-B2F9-53E0EB85DFA7}"/>
    <cellStyle name="Normal 4 2 4 2 3 5 4" xfId="10610" xr:uid="{CBA21AE0-1880-4820-8FA9-7B146D4FE544}"/>
    <cellStyle name="Normal 4 2 4 2 3 6" xfId="2518" xr:uid="{00000000-0005-0000-0000-000067130000}"/>
    <cellStyle name="Normal 4 2 4 2 3 6 2" xfId="6802" xr:uid="{00000000-0005-0000-0000-000068130000}"/>
    <cellStyle name="Normal 4 2 4 2 3 6 2 2" xfId="15241" xr:uid="{C4B02F97-52F6-4122-95FB-27A1138AB536}"/>
    <cellStyle name="Normal 4 2 4 2 3 6 3" xfId="11023" xr:uid="{50597BB3-F48D-4E1B-AF8D-DEA0C73759E6}"/>
    <cellStyle name="Normal 4 2 4 2 3 7" xfId="4737" xr:uid="{00000000-0005-0000-0000-000069130000}"/>
    <cellStyle name="Normal 4 2 4 2 3 7 2" xfId="13176" xr:uid="{445312F8-0373-4A51-93A6-29321D100AAB}"/>
    <cellStyle name="Normal 4 2 4 2 3 8" xfId="8958" xr:uid="{75EC6E45-68A3-4ECE-BB4B-13F227A352D7}"/>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C0320B22-FE6F-4380-9BF9-2D36E886825D}"/>
    <cellStyle name="Normal 4 2 4 2 4 2 3" xfId="11513" xr:uid="{E62EAE7C-691B-4654-BFD6-7482B65DE46E}"/>
    <cellStyle name="Normal 4 2 4 2 4 3" xfId="5147" xr:uid="{00000000-0005-0000-0000-00006D130000}"/>
    <cellStyle name="Normal 4 2 4 2 4 3 2" xfId="13586" xr:uid="{569EF17A-5023-4CC6-BD20-0AFCCE847B9B}"/>
    <cellStyle name="Normal 4 2 4 2 4 4" xfId="9368" xr:uid="{745FA042-142F-4BD3-BF30-F176D30B3D48}"/>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E3CB2DB1-66BC-463D-9846-E4B36B252C71}"/>
    <cellStyle name="Normal 4 2 4 2 5 2 3" xfId="11926" xr:uid="{43C8A208-6C5D-447D-9EEC-A3DEB0E4C220}"/>
    <cellStyle name="Normal 4 2 4 2 5 3" xfId="5560" xr:uid="{00000000-0005-0000-0000-000071130000}"/>
    <cellStyle name="Normal 4 2 4 2 5 3 2" xfId="13999" xr:uid="{73192AEF-E238-4766-B17A-7060A24A7FDF}"/>
    <cellStyle name="Normal 4 2 4 2 5 4" xfId="9781" xr:uid="{6ADB8300-4BB3-4E02-BF07-15B8BA8A343D}"/>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B91EB67C-F4C6-4EB2-A21E-5A8AF33A92E7}"/>
    <cellStyle name="Normal 4 2 4 2 6 2 3" xfId="12339" xr:uid="{86C4BD54-B0D8-4EF2-A42F-A5F0FCB2EBE2}"/>
    <cellStyle name="Normal 4 2 4 2 6 3" xfId="5973" xr:uid="{00000000-0005-0000-0000-000075130000}"/>
    <cellStyle name="Normal 4 2 4 2 6 3 2" xfId="14412" xr:uid="{E996B88A-2C88-4A9F-9AB1-306B3C1CFAFD}"/>
    <cellStyle name="Normal 4 2 4 2 6 4" xfId="10194" xr:uid="{BC1AEFD9-F1CE-40AE-909C-2F8B4D3D8327}"/>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8F408E9C-F5E1-4413-9C1E-E0A69C35E841}"/>
    <cellStyle name="Normal 4 2 4 2 7 2 3" xfId="12752" xr:uid="{79CF7847-2B48-4148-A59C-1B74548456C6}"/>
    <cellStyle name="Normal 4 2 4 2 7 3" xfId="6386" xr:uid="{00000000-0005-0000-0000-000079130000}"/>
    <cellStyle name="Normal 4 2 4 2 7 3 2" xfId="14825" xr:uid="{C639A100-5610-46EA-BEB6-0824822A51C5}"/>
    <cellStyle name="Normal 4 2 4 2 7 4" xfId="10607" xr:uid="{E733C9E0-08E9-4568-9ED1-D4F78B4D9D03}"/>
    <cellStyle name="Normal 4 2 4 2 8" xfId="2515" xr:uid="{00000000-0005-0000-0000-00007A130000}"/>
    <cellStyle name="Normal 4 2 4 2 8 2" xfId="6799" xr:uid="{00000000-0005-0000-0000-00007B130000}"/>
    <cellStyle name="Normal 4 2 4 2 8 2 2" xfId="15238" xr:uid="{94699909-D253-4EDA-8219-B6FFF2126686}"/>
    <cellStyle name="Normal 4 2 4 2 8 3" xfId="11020" xr:uid="{BA2D3409-FBD6-4512-B7DB-9A55B985DB69}"/>
    <cellStyle name="Normal 4 2 4 2 9" xfId="4734" xr:uid="{00000000-0005-0000-0000-00007C130000}"/>
    <cellStyle name="Normal 4 2 4 2 9 2" xfId="13173" xr:uid="{43C9268B-01D5-4CE3-8C2F-A7EE097B83C5}"/>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8A692A33-C0B5-46FA-B7BD-683C1651B5BF}"/>
    <cellStyle name="Normal 4 2 4 3 2 2 2 3" xfId="11518" xr:uid="{47C3BC0E-4490-4EDC-B166-A1A12E90F971}"/>
    <cellStyle name="Normal 4 2 4 3 2 2 3" xfId="5152" xr:uid="{00000000-0005-0000-0000-000082130000}"/>
    <cellStyle name="Normal 4 2 4 3 2 2 3 2" xfId="13591" xr:uid="{910B353D-C2C0-40A0-AB5F-692DC7CF8CA6}"/>
    <cellStyle name="Normal 4 2 4 3 2 2 4" xfId="9373" xr:uid="{938B0352-6817-452E-AB0E-9096D0CE8792}"/>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95A52005-C0B1-486C-88E7-CAF6A9188A2B}"/>
    <cellStyle name="Normal 4 2 4 3 2 3 2 3" xfId="11931" xr:uid="{4DA3F95E-08D8-4135-A470-3336C738770F}"/>
    <cellStyle name="Normal 4 2 4 3 2 3 3" xfId="5565" xr:uid="{00000000-0005-0000-0000-000086130000}"/>
    <cellStyle name="Normal 4 2 4 3 2 3 3 2" xfId="14004" xr:uid="{214B4E54-4F7B-4B07-833C-90380CB0173C}"/>
    <cellStyle name="Normal 4 2 4 3 2 3 4" xfId="9786" xr:uid="{AB0B1EC0-B146-4C05-A255-A527FC2EA58C}"/>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6978EE4D-2A4C-403B-8475-E68245B9BEF7}"/>
    <cellStyle name="Normal 4 2 4 3 2 4 2 3" xfId="12344" xr:uid="{5AD31839-470A-4757-B202-18A8540BBD96}"/>
    <cellStyle name="Normal 4 2 4 3 2 4 3" xfId="5978" xr:uid="{00000000-0005-0000-0000-00008A130000}"/>
    <cellStyle name="Normal 4 2 4 3 2 4 3 2" xfId="14417" xr:uid="{F814ED06-8422-45A7-A608-C5DE46CDAF25}"/>
    <cellStyle name="Normal 4 2 4 3 2 4 4" xfId="10199" xr:uid="{BD177671-0795-404F-9D7F-7DC9E32A7EF6}"/>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4BDEDE5A-5AD8-4725-BD47-C85481E39E0A}"/>
    <cellStyle name="Normal 4 2 4 3 2 5 2 3" xfId="12757" xr:uid="{679B194E-5A46-452A-890A-AD0F01D1C181}"/>
    <cellStyle name="Normal 4 2 4 3 2 5 3" xfId="6391" xr:uid="{00000000-0005-0000-0000-00008E130000}"/>
    <cellStyle name="Normal 4 2 4 3 2 5 3 2" xfId="14830" xr:uid="{F63E3C05-9C6A-40C2-A4D2-B11449E0944E}"/>
    <cellStyle name="Normal 4 2 4 3 2 5 4" xfId="10612" xr:uid="{D4C564AE-51C8-46AF-BF6A-E4799CC752E1}"/>
    <cellStyle name="Normal 4 2 4 3 2 6" xfId="2520" xr:uid="{00000000-0005-0000-0000-00008F130000}"/>
    <cellStyle name="Normal 4 2 4 3 2 6 2" xfId="6804" xr:uid="{00000000-0005-0000-0000-000090130000}"/>
    <cellStyle name="Normal 4 2 4 3 2 6 2 2" xfId="15243" xr:uid="{97B087F1-F935-4B7F-A814-89F9848B51FD}"/>
    <cellStyle name="Normal 4 2 4 3 2 6 3" xfId="11025" xr:uid="{F9E609EC-16E1-4235-A829-F794D7A4D69E}"/>
    <cellStyle name="Normal 4 2 4 3 2 7" xfId="4739" xr:uid="{00000000-0005-0000-0000-000091130000}"/>
    <cellStyle name="Normal 4 2 4 3 2 7 2" xfId="13178" xr:uid="{A8A873BC-0696-4475-892F-EA8B2B129FF2}"/>
    <cellStyle name="Normal 4 2 4 3 2 8" xfId="8960" xr:uid="{91D834A7-6D32-4FD1-A378-88207B8737C1}"/>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244F342B-865E-4A93-82A8-5B23DB5E3D29}"/>
    <cellStyle name="Normal 4 2 4 3 3 2 3" xfId="11517" xr:uid="{A52F15A7-3C16-41FB-9626-54D5AD62B0D6}"/>
    <cellStyle name="Normal 4 2 4 3 3 3" xfId="5151" xr:uid="{00000000-0005-0000-0000-000095130000}"/>
    <cellStyle name="Normal 4 2 4 3 3 3 2" xfId="13590" xr:uid="{0E28D094-0182-4FB1-89C3-383CFB418C3C}"/>
    <cellStyle name="Normal 4 2 4 3 3 4" xfId="9372" xr:uid="{07CE9ABB-E0BD-43EE-8785-7E1516052CF9}"/>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EE0DAFB8-DB0F-4696-AFF2-35F918A81653}"/>
    <cellStyle name="Normal 4 2 4 3 4 2 3" xfId="11930" xr:uid="{798E3EA0-D51F-4B11-A3BB-C75C3AFA3385}"/>
    <cellStyle name="Normal 4 2 4 3 4 3" xfId="5564" xr:uid="{00000000-0005-0000-0000-000099130000}"/>
    <cellStyle name="Normal 4 2 4 3 4 3 2" xfId="14003" xr:uid="{B9A4BD1F-6BC6-40E5-88D7-451058901DBD}"/>
    <cellStyle name="Normal 4 2 4 3 4 4" xfId="9785" xr:uid="{74A3B606-D27A-4051-865E-4957EA2A11A8}"/>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F751B186-E671-4A14-A4B4-4D388373EECE}"/>
    <cellStyle name="Normal 4 2 4 3 5 2 3" xfId="12343" xr:uid="{61D03057-72B9-4848-B93D-6772797A4240}"/>
    <cellStyle name="Normal 4 2 4 3 5 3" xfId="5977" xr:uid="{00000000-0005-0000-0000-00009D130000}"/>
    <cellStyle name="Normal 4 2 4 3 5 3 2" xfId="14416" xr:uid="{09580287-4BEB-4B25-B1DD-C31A7018DA65}"/>
    <cellStyle name="Normal 4 2 4 3 5 4" xfId="10198" xr:uid="{97A6B1C9-DCCF-4546-864F-A1C8653BEFA9}"/>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5E031B9F-43FE-4472-9293-24801E0B364A}"/>
    <cellStyle name="Normal 4 2 4 3 6 2 3" xfId="12756" xr:uid="{0C162B17-5A58-48C4-AA1E-C1C2E51EBABB}"/>
    <cellStyle name="Normal 4 2 4 3 6 3" xfId="6390" xr:uid="{00000000-0005-0000-0000-0000A1130000}"/>
    <cellStyle name="Normal 4 2 4 3 6 3 2" xfId="14829" xr:uid="{303F36CB-B7B6-4425-BF25-D6C6F7170D92}"/>
    <cellStyle name="Normal 4 2 4 3 6 4" xfId="10611" xr:uid="{82FCA1E0-84F0-4C06-B105-F0816042A004}"/>
    <cellStyle name="Normal 4 2 4 3 7" xfId="2519" xr:uid="{00000000-0005-0000-0000-0000A2130000}"/>
    <cellStyle name="Normal 4 2 4 3 7 2" xfId="6803" xr:uid="{00000000-0005-0000-0000-0000A3130000}"/>
    <cellStyle name="Normal 4 2 4 3 7 2 2" xfId="15242" xr:uid="{896157FA-2190-4750-B1CF-C9AFC23F5296}"/>
    <cellStyle name="Normal 4 2 4 3 7 3" xfId="11024" xr:uid="{6C5E6FEB-548E-4BC8-92EE-9996220DC8BD}"/>
    <cellStyle name="Normal 4 2 4 3 8" xfId="4738" xr:uid="{00000000-0005-0000-0000-0000A4130000}"/>
    <cellStyle name="Normal 4 2 4 3 8 2" xfId="13177" xr:uid="{34EE4BE2-4D31-447D-B814-A08D80E193DC}"/>
    <cellStyle name="Normal 4 2 4 3 9" xfId="8959" xr:uid="{6C796688-51C9-46D4-A2CB-CB45DF73EC21}"/>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D57986C8-60FB-4847-A57D-71C67B379C98}"/>
    <cellStyle name="Normal 4 2 4 4 2 2 3" xfId="11519" xr:uid="{944787A3-6C85-4763-8119-70443962FA86}"/>
    <cellStyle name="Normal 4 2 4 4 2 3" xfId="5153" xr:uid="{00000000-0005-0000-0000-0000A9130000}"/>
    <cellStyle name="Normal 4 2 4 4 2 3 2" xfId="13592" xr:uid="{391A2363-1ECB-4752-AECE-C0FB72C91422}"/>
    <cellStyle name="Normal 4 2 4 4 2 4" xfId="9374" xr:uid="{5D06E788-6AD9-4B66-AD04-8C663C6867D2}"/>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9247B4B4-B2B9-44F6-BA3A-F382ACF32DA2}"/>
    <cellStyle name="Normal 4 2 4 4 3 2 3" xfId="11932" xr:uid="{5A591FB4-4710-41A3-B80F-B13FE430E4FA}"/>
    <cellStyle name="Normal 4 2 4 4 3 3" xfId="5566" xr:uid="{00000000-0005-0000-0000-0000AD130000}"/>
    <cellStyle name="Normal 4 2 4 4 3 3 2" xfId="14005" xr:uid="{AD5F363D-9E0C-40D9-A320-5F21E7C8FE2B}"/>
    <cellStyle name="Normal 4 2 4 4 3 4" xfId="9787" xr:uid="{8B251522-4296-42B2-9786-B8074B724FF6}"/>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814901D8-AB90-4DAF-A1FE-61F54D8CDF74}"/>
    <cellStyle name="Normal 4 2 4 4 4 2 3" xfId="12345" xr:uid="{BB7DFEA5-D342-404F-A4ED-8331607259EB}"/>
    <cellStyle name="Normal 4 2 4 4 4 3" xfId="5979" xr:uid="{00000000-0005-0000-0000-0000B1130000}"/>
    <cellStyle name="Normal 4 2 4 4 4 3 2" xfId="14418" xr:uid="{37856F38-B50C-4D7E-99F8-35D6954C41F6}"/>
    <cellStyle name="Normal 4 2 4 4 4 4" xfId="10200" xr:uid="{358F7CF2-3143-41CD-85C4-EB0CB24BC63E}"/>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9CD7EFF6-5E52-4E91-9668-F2AF10398D31}"/>
    <cellStyle name="Normal 4 2 4 4 5 2 3" xfId="12758" xr:uid="{20A21096-58D0-4C41-BE9B-873968041DF5}"/>
    <cellStyle name="Normal 4 2 4 4 5 3" xfId="6392" xr:uid="{00000000-0005-0000-0000-0000B5130000}"/>
    <cellStyle name="Normal 4 2 4 4 5 3 2" xfId="14831" xr:uid="{97E22CA3-438C-4A34-9BD9-425817549E15}"/>
    <cellStyle name="Normal 4 2 4 4 5 4" xfId="10613" xr:uid="{468AFA89-CB2D-48F7-A5CF-4433C3470B90}"/>
    <cellStyle name="Normal 4 2 4 4 6" xfId="2521" xr:uid="{00000000-0005-0000-0000-0000B6130000}"/>
    <cellStyle name="Normal 4 2 4 4 6 2" xfId="6805" xr:uid="{00000000-0005-0000-0000-0000B7130000}"/>
    <cellStyle name="Normal 4 2 4 4 6 2 2" xfId="15244" xr:uid="{64754A50-428A-4B0D-B1B0-13B0ACB03E8E}"/>
    <cellStyle name="Normal 4 2 4 4 6 3" xfId="11026" xr:uid="{828F6061-2E6F-47F4-8689-0263B8967C72}"/>
    <cellStyle name="Normal 4 2 4 4 7" xfId="4740" xr:uid="{00000000-0005-0000-0000-0000B8130000}"/>
    <cellStyle name="Normal 4 2 4 4 7 2" xfId="13179" xr:uid="{90C4921A-CBA3-4658-9013-FDB071322C0E}"/>
    <cellStyle name="Normal 4 2 4 4 8" xfId="8961" xr:uid="{61930619-50ED-43C0-9E3A-55DF72801A75}"/>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F76B5962-9C75-4C2C-A2CD-759379A1CBBD}"/>
    <cellStyle name="Normal 4 2 4 5 2 3" xfId="11512" xr:uid="{A8639941-6196-4EF0-ABE4-9252336A4892}"/>
    <cellStyle name="Normal 4 2 4 5 3" xfId="5146" xr:uid="{00000000-0005-0000-0000-0000BC130000}"/>
    <cellStyle name="Normal 4 2 4 5 3 2" xfId="13585" xr:uid="{E512CB8A-D0BC-42D3-AF9C-4943DCA90CCF}"/>
    <cellStyle name="Normal 4 2 4 5 4" xfId="9367" xr:uid="{A2D0CDFF-8B94-47A5-8C0E-7D34ADE4C70C}"/>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185F578C-942B-4439-8B08-2BCD27B7214F}"/>
    <cellStyle name="Normal 4 2 4 6 2 3" xfId="11925" xr:uid="{D0D6EE4B-A3AD-4C91-825D-24A0534FAEA3}"/>
    <cellStyle name="Normal 4 2 4 6 3" xfId="5559" xr:uid="{00000000-0005-0000-0000-0000C0130000}"/>
    <cellStyle name="Normal 4 2 4 6 3 2" xfId="13998" xr:uid="{2A62CD5E-C4EB-43D5-B2FF-C4E59C187BA1}"/>
    <cellStyle name="Normal 4 2 4 6 4" xfId="9780" xr:uid="{5C5C00C9-7284-40D9-A849-4074C7EF30C4}"/>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FCF8764F-8AEF-46A6-925F-930EDC439A25}"/>
    <cellStyle name="Normal 4 2 4 7 2 3" xfId="12338" xr:uid="{2CB16F1F-EDAB-48D9-887A-E665B6648B40}"/>
    <cellStyle name="Normal 4 2 4 7 3" xfId="5972" xr:uid="{00000000-0005-0000-0000-0000C4130000}"/>
    <cellStyle name="Normal 4 2 4 7 3 2" xfId="14411" xr:uid="{684BE06A-F23C-4AFA-9930-00EE53DF4690}"/>
    <cellStyle name="Normal 4 2 4 7 4" xfId="10193" xr:uid="{D59509BB-9A04-4E69-A2F4-7B1C3DAEBF66}"/>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D8A7D09E-9929-4ECC-87B9-45479C3B97E9}"/>
    <cellStyle name="Normal 4 2 4 8 2 3" xfId="12751" xr:uid="{1C16C6AD-E02D-49E1-85AC-A520A1BBAF3F}"/>
    <cellStyle name="Normal 4 2 4 8 3" xfId="6385" xr:uid="{00000000-0005-0000-0000-0000C8130000}"/>
    <cellStyle name="Normal 4 2 4 8 3 2" xfId="14824" xr:uid="{3967E4AC-3B03-4253-9707-A9EC1066DA49}"/>
    <cellStyle name="Normal 4 2 4 8 4" xfId="10606" xr:uid="{D453B670-0045-4A77-872D-FB62FED72D9A}"/>
    <cellStyle name="Normal 4 2 4 9" xfId="2514" xr:uid="{00000000-0005-0000-0000-0000C9130000}"/>
    <cellStyle name="Normal 4 2 4 9 2" xfId="6798" xr:uid="{00000000-0005-0000-0000-0000CA130000}"/>
    <cellStyle name="Normal 4 2 4 9 2 2" xfId="15237" xr:uid="{6E291754-ED91-42AB-8075-96595DDDBD7F}"/>
    <cellStyle name="Normal 4 2 4 9 3" xfId="11019" xr:uid="{41CF5E85-0821-40AC-8976-9FF8C030D4AC}"/>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7206763E-C1F7-4924-A553-159F31F88AF8}"/>
    <cellStyle name="Normal 4 2 5 2 2 2 3" xfId="11521" xr:uid="{2A0C9720-3D52-42C9-9A0E-13995528ABE7}"/>
    <cellStyle name="Normal 4 2 5 2 2 3" xfId="5155" xr:uid="{00000000-0005-0000-0000-0000D0130000}"/>
    <cellStyle name="Normal 4 2 5 2 2 3 2" xfId="13594" xr:uid="{BC9D2C11-0653-438D-A5E0-1A5355D055A7}"/>
    <cellStyle name="Normal 4 2 5 2 2 4" xfId="9376" xr:uid="{F4E44F48-7655-4BAF-9A1C-8D7633869869}"/>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564B6B4A-3D55-4147-A4C1-47BFDB9B2C27}"/>
    <cellStyle name="Normal 4 2 5 2 3 2 3" xfId="11934" xr:uid="{6257D4DD-8B72-4B3B-B2F0-63FF0457560D}"/>
    <cellStyle name="Normal 4 2 5 2 3 3" xfId="5568" xr:uid="{00000000-0005-0000-0000-0000D4130000}"/>
    <cellStyle name="Normal 4 2 5 2 3 3 2" xfId="14007" xr:uid="{51297055-E90F-41CA-8CE0-2A119DEC54D4}"/>
    <cellStyle name="Normal 4 2 5 2 3 4" xfId="9789" xr:uid="{13F16B59-F187-4673-9AC9-3581B53D9FF7}"/>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9880A082-EED9-4A97-98E2-F823B8C44622}"/>
    <cellStyle name="Normal 4 2 5 2 4 2 3" xfId="12347" xr:uid="{F9A81682-049A-4E2B-B7FE-D62B921D8D2B}"/>
    <cellStyle name="Normal 4 2 5 2 4 3" xfId="5981" xr:uid="{00000000-0005-0000-0000-0000D8130000}"/>
    <cellStyle name="Normal 4 2 5 2 4 3 2" xfId="14420" xr:uid="{AFFE0EAD-88C3-491A-971D-6FB8F95BEEFD}"/>
    <cellStyle name="Normal 4 2 5 2 4 4" xfId="10202" xr:uid="{0A2D986D-3C48-45A0-91A9-9E5D08A63F23}"/>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70FBAB8A-B2FC-4418-B997-CB88BFD4A3E7}"/>
    <cellStyle name="Normal 4 2 5 2 5 2 3" xfId="12760" xr:uid="{0BEBDBAE-C8AF-40FE-BA23-F15DBD15F1CB}"/>
    <cellStyle name="Normal 4 2 5 2 5 3" xfId="6394" xr:uid="{00000000-0005-0000-0000-0000DC130000}"/>
    <cellStyle name="Normal 4 2 5 2 5 3 2" xfId="14833" xr:uid="{F0D8004D-081E-4D8D-ACDC-4996D5088CAF}"/>
    <cellStyle name="Normal 4 2 5 2 5 4" xfId="10615" xr:uid="{83558F82-7D94-40A7-B4DC-F9D8A4EF9FE6}"/>
    <cellStyle name="Normal 4 2 5 2 6" xfId="2523" xr:uid="{00000000-0005-0000-0000-0000DD130000}"/>
    <cellStyle name="Normal 4 2 5 2 6 2" xfId="6807" xr:uid="{00000000-0005-0000-0000-0000DE130000}"/>
    <cellStyle name="Normal 4 2 5 2 6 2 2" xfId="15246" xr:uid="{0E7D6595-C8BB-4514-A334-D1CD9119272F}"/>
    <cellStyle name="Normal 4 2 5 2 6 3" xfId="11028" xr:uid="{DB794049-FBB5-47E1-97C7-78B9EB4FBB53}"/>
    <cellStyle name="Normal 4 2 5 2 7" xfId="4742" xr:uid="{00000000-0005-0000-0000-0000DF130000}"/>
    <cellStyle name="Normal 4 2 5 2 7 2" xfId="13181" xr:uid="{0F203C99-CEDC-4F54-B342-286C4FB0294C}"/>
    <cellStyle name="Normal 4 2 5 2 8" xfId="8963" xr:uid="{3E307DD2-0A61-4267-A9EA-B6BAB73898BD}"/>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556CDA24-DBE8-4152-A923-D98C9FE11E5E}"/>
    <cellStyle name="Normal 4 2 5 3 2 3" xfId="11520" xr:uid="{CED527BE-35C3-4851-8051-9A0E3129DEE0}"/>
    <cellStyle name="Normal 4 2 5 3 3" xfId="5154" xr:uid="{00000000-0005-0000-0000-0000E3130000}"/>
    <cellStyle name="Normal 4 2 5 3 3 2" xfId="13593" xr:uid="{83CF2433-C06B-4B64-B698-9F2FCCD3ACF3}"/>
    <cellStyle name="Normal 4 2 5 3 4" xfId="9375" xr:uid="{AFBE7466-3D99-4EBE-8746-9D7E52DE3EFE}"/>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FFC42886-2016-4096-9A1A-07485ABBD862}"/>
    <cellStyle name="Normal 4 2 5 4 2 3" xfId="11933" xr:uid="{CC36FF14-0BD9-4C33-B968-4FF7AC13677E}"/>
    <cellStyle name="Normal 4 2 5 4 3" xfId="5567" xr:uid="{00000000-0005-0000-0000-0000E7130000}"/>
    <cellStyle name="Normal 4 2 5 4 3 2" xfId="14006" xr:uid="{AC15F09F-390E-4115-94F7-6A4E1A567F83}"/>
    <cellStyle name="Normal 4 2 5 4 4" xfId="9788" xr:uid="{F28656D8-9E2F-4BA8-A95E-799106B8BD67}"/>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C447BD7E-5DA7-4256-A7EA-0A5E58A7A3BA}"/>
    <cellStyle name="Normal 4 2 5 5 2 3" xfId="12346" xr:uid="{4A68C5E3-8417-441E-8121-85C16E69AEAB}"/>
    <cellStyle name="Normal 4 2 5 5 3" xfId="5980" xr:uid="{00000000-0005-0000-0000-0000EB130000}"/>
    <cellStyle name="Normal 4 2 5 5 3 2" xfId="14419" xr:uid="{830B6B09-62BA-490A-AC95-469FF34B1A3D}"/>
    <cellStyle name="Normal 4 2 5 5 4" xfId="10201" xr:uid="{02976D60-4D36-4E15-A951-0856E0BF199A}"/>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17C2C787-77E2-44D0-8DDF-E1243B22AC03}"/>
    <cellStyle name="Normal 4 2 5 6 2 3" xfId="12759" xr:uid="{96BD3F65-1FF6-4C65-AB39-7D24935754CD}"/>
    <cellStyle name="Normal 4 2 5 6 3" xfId="6393" xr:uid="{00000000-0005-0000-0000-0000EF130000}"/>
    <cellStyle name="Normal 4 2 5 6 3 2" xfId="14832" xr:uid="{3601968E-F69F-4FFE-A0E9-0EA4EB2EA244}"/>
    <cellStyle name="Normal 4 2 5 6 4" xfId="10614" xr:uid="{A6A4C6AB-6EE0-4F44-994E-D7D60267D2E2}"/>
    <cellStyle name="Normal 4 2 5 7" xfId="2522" xr:uid="{00000000-0005-0000-0000-0000F0130000}"/>
    <cellStyle name="Normal 4 2 5 7 2" xfId="6806" xr:uid="{00000000-0005-0000-0000-0000F1130000}"/>
    <cellStyle name="Normal 4 2 5 7 2 2" xfId="15245" xr:uid="{34985470-29D0-4AC4-A762-9588A8D67A01}"/>
    <cellStyle name="Normal 4 2 5 7 3" xfId="11027" xr:uid="{BF03A540-F7FC-4FD4-8629-FA99732A3089}"/>
    <cellStyle name="Normal 4 2 5 8" xfId="4741" xr:uid="{00000000-0005-0000-0000-0000F2130000}"/>
    <cellStyle name="Normal 4 2 5 8 2" xfId="13180" xr:uid="{22DF168D-4ACB-441E-8CA2-4251003357BE}"/>
    <cellStyle name="Normal 4 2 5 9" xfId="8962" xr:uid="{5F3C5B66-CE5F-4A55-B6AD-57753D0F187D}"/>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EA291719-2C75-4AE5-9056-D03A361854F5}"/>
    <cellStyle name="Normal 4 2 6 2 2 3" xfId="11522" xr:uid="{94392392-CF18-419E-8E7E-06303B6BAB16}"/>
    <cellStyle name="Normal 4 2 6 2 3" xfId="5156" xr:uid="{00000000-0005-0000-0000-0000F7130000}"/>
    <cellStyle name="Normal 4 2 6 2 3 2" xfId="13595" xr:uid="{70B1502C-A7A3-47FC-A5D8-09E639AB8ADA}"/>
    <cellStyle name="Normal 4 2 6 2 4" xfId="9377" xr:uid="{1FDB2526-2CBC-452E-B5A6-1061A1697074}"/>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ED50C372-BB04-4F28-86F1-B1B2D778AB34}"/>
    <cellStyle name="Normal 4 2 6 3 2 3" xfId="11935" xr:uid="{7E07BA85-883C-4878-942B-75BEFA6F3F50}"/>
    <cellStyle name="Normal 4 2 6 3 3" xfId="5569" xr:uid="{00000000-0005-0000-0000-0000FB130000}"/>
    <cellStyle name="Normal 4 2 6 3 3 2" xfId="14008" xr:uid="{D8F4F780-C5BA-40C7-B622-0DF18E24CD53}"/>
    <cellStyle name="Normal 4 2 6 3 4" xfId="9790" xr:uid="{AA45DD52-8150-44A6-8D5B-6C223194D261}"/>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2792C597-A01B-42A3-834F-3783E6D262B5}"/>
    <cellStyle name="Normal 4 2 6 4 2 3" xfId="12348" xr:uid="{91FC7BDA-8DBE-41C0-AA21-511793DC5068}"/>
    <cellStyle name="Normal 4 2 6 4 3" xfId="5982" xr:uid="{00000000-0005-0000-0000-0000FF130000}"/>
    <cellStyle name="Normal 4 2 6 4 3 2" xfId="14421" xr:uid="{CD92E55B-72DF-4914-9F8B-2AC2D93323B5}"/>
    <cellStyle name="Normal 4 2 6 4 4" xfId="10203" xr:uid="{E8DEDA77-B2C1-49DB-92B5-59F7E6B824D8}"/>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A9544B93-B450-4415-82DD-A1C0A8C1DAD6}"/>
    <cellStyle name="Normal 4 2 6 5 2 3" xfId="12761" xr:uid="{92A24B51-2DFB-4E9C-AEC6-A25AE0D189CA}"/>
    <cellStyle name="Normal 4 2 6 5 3" xfId="6395" xr:uid="{00000000-0005-0000-0000-000003140000}"/>
    <cellStyle name="Normal 4 2 6 5 3 2" xfId="14834" xr:uid="{71FD7192-E94E-4711-828C-56B2A89E8392}"/>
    <cellStyle name="Normal 4 2 6 5 4" xfId="10616" xr:uid="{9D117329-596E-4F1C-94E9-E5BBB7E8AD82}"/>
    <cellStyle name="Normal 4 2 6 6" xfId="2524" xr:uid="{00000000-0005-0000-0000-000004140000}"/>
    <cellStyle name="Normal 4 2 6 6 2" xfId="6808" xr:uid="{00000000-0005-0000-0000-000005140000}"/>
    <cellStyle name="Normal 4 2 6 6 2 2" xfId="15247" xr:uid="{CC5F2F32-01D3-402E-92A2-7B564EE4030B}"/>
    <cellStyle name="Normal 4 2 6 6 3" xfId="11029" xr:uid="{68F6E634-898E-48C2-A714-1F009A2A6FCC}"/>
    <cellStyle name="Normal 4 2 6 7" xfId="4743" xr:uid="{00000000-0005-0000-0000-000006140000}"/>
    <cellStyle name="Normal 4 2 6 7 2" xfId="13182" xr:uid="{85C3D3F5-396C-4CE2-9F1E-0427F4ECC3E4}"/>
    <cellStyle name="Normal 4 2 6 8" xfId="8964" xr:uid="{6AF58E25-FFFA-4F73-AB9A-38191DAF9B1D}"/>
    <cellStyle name="Normal 4 3" xfId="366" xr:uid="{00000000-0005-0000-0000-000007140000}"/>
    <cellStyle name="Normal 4 3 10" xfId="8965" xr:uid="{F5666617-12AB-4EFC-A541-46939BC33625}"/>
    <cellStyle name="Normal 4 3 2" xfId="367" xr:uid="{00000000-0005-0000-0000-000008140000}"/>
    <cellStyle name="Normal 4 3 2 2" xfId="368" xr:uid="{00000000-0005-0000-0000-000009140000}"/>
    <cellStyle name="Normal 4 3 2 2 2" xfId="369" xr:uid="{00000000-0005-0000-0000-00000A140000}"/>
    <cellStyle name="Normal 4 3 2 2 2 10" xfId="8966" xr:uid="{A2438B9D-0395-4FD5-9EDC-ADD33123864D}"/>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312CF223-5A60-421D-9C2A-28AA2E8E674E}"/>
    <cellStyle name="Normal 4 3 2 2 2 2 2 2 2 3" xfId="11526" xr:uid="{E142E3A1-80AD-4108-B0D2-DC19DCBAC053}"/>
    <cellStyle name="Normal 4 3 2 2 2 2 2 2 3" xfId="5160" xr:uid="{00000000-0005-0000-0000-000010140000}"/>
    <cellStyle name="Normal 4 3 2 2 2 2 2 2 3 2" xfId="13599" xr:uid="{3888F20D-0A9C-4329-BD2C-4F7A126899EF}"/>
    <cellStyle name="Normal 4 3 2 2 2 2 2 2 4" xfId="9381" xr:uid="{CE49E30B-6872-4013-A50D-FF93227E4F0A}"/>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255A4819-224C-4471-801F-952615001930}"/>
    <cellStyle name="Normal 4 3 2 2 2 2 2 3 2 3" xfId="11939" xr:uid="{81D18CDD-0B2A-46A8-853E-C3709BEB0F46}"/>
    <cellStyle name="Normal 4 3 2 2 2 2 2 3 3" xfId="5573" xr:uid="{00000000-0005-0000-0000-000014140000}"/>
    <cellStyle name="Normal 4 3 2 2 2 2 2 3 3 2" xfId="14012" xr:uid="{14D61E7D-378E-46B5-ADA0-E97EFA0854D1}"/>
    <cellStyle name="Normal 4 3 2 2 2 2 2 3 4" xfId="9794" xr:uid="{2ABA4D10-81E0-4C70-A28D-EA6DD0E51A76}"/>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EB5AF9CD-414D-4199-A5FE-DB3F14890C59}"/>
    <cellStyle name="Normal 4 3 2 2 2 2 2 4 2 3" xfId="12352" xr:uid="{96C3DBB0-89EF-4C49-9770-2C6F24976336}"/>
    <cellStyle name="Normal 4 3 2 2 2 2 2 4 3" xfId="5986" xr:uid="{00000000-0005-0000-0000-000018140000}"/>
    <cellStyle name="Normal 4 3 2 2 2 2 2 4 3 2" xfId="14425" xr:uid="{09B37FEC-D02F-4B22-8A89-42CEA2E97E5C}"/>
    <cellStyle name="Normal 4 3 2 2 2 2 2 4 4" xfId="10207" xr:uid="{42014B6B-1C55-407B-95F4-2BD5C73AA49B}"/>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7944A286-CB75-4489-ACF5-67CA33542130}"/>
    <cellStyle name="Normal 4 3 2 2 2 2 2 5 2 3" xfId="12765" xr:uid="{A55119A8-208F-4712-A919-8CF72958864E}"/>
    <cellStyle name="Normal 4 3 2 2 2 2 2 5 3" xfId="6399" xr:uid="{00000000-0005-0000-0000-00001C140000}"/>
    <cellStyle name="Normal 4 3 2 2 2 2 2 5 3 2" xfId="14838" xr:uid="{0958F6B3-ECF8-4035-862D-D4E1236B88E2}"/>
    <cellStyle name="Normal 4 3 2 2 2 2 2 5 4" xfId="10620" xr:uid="{66637C5A-CDEA-453A-9B0F-61B67E9429E3}"/>
    <cellStyle name="Normal 4 3 2 2 2 2 2 6" xfId="2528" xr:uid="{00000000-0005-0000-0000-00001D140000}"/>
    <cellStyle name="Normal 4 3 2 2 2 2 2 6 2" xfId="6812" xr:uid="{00000000-0005-0000-0000-00001E140000}"/>
    <cellStyle name="Normal 4 3 2 2 2 2 2 6 2 2" xfId="15251" xr:uid="{23EF21E2-55FB-45B7-9CE0-48C4BE787DF0}"/>
    <cellStyle name="Normal 4 3 2 2 2 2 2 6 3" xfId="11033" xr:uid="{C0765F76-387E-44F9-97E6-DC862340FF77}"/>
    <cellStyle name="Normal 4 3 2 2 2 2 2 7" xfId="4747" xr:uid="{00000000-0005-0000-0000-00001F140000}"/>
    <cellStyle name="Normal 4 3 2 2 2 2 2 7 2" xfId="13186" xr:uid="{D95D6FA5-753A-454E-8E99-5C14E02779DA}"/>
    <cellStyle name="Normal 4 3 2 2 2 2 2 8" xfId="8968" xr:uid="{9AAE2722-FC7C-4661-A8B3-F4072966A9A9}"/>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AE59E6CB-5B46-4D58-B39F-2CE46A0A2070}"/>
    <cellStyle name="Normal 4 3 2 2 2 2 3 2 3" xfId="11525" xr:uid="{BF327B48-13A6-4944-B619-82E3834E0FDA}"/>
    <cellStyle name="Normal 4 3 2 2 2 2 3 3" xfId="5159" xr:uid="{00000000-0005-0000-0000-000023140000}"/>
    <cellStyle name="Normal 4 3 2 2 2 2 3 3 2" xfId="13598" xr:uid="{0E2820C2-CA42-4C4F-85C2-FF1F9085BBAA}"/>
    <cellStyle name="Normal 4 3 2 2 2 2 3 4" xfId="9380" xr:uid="{E22E74B2-F4FD-4D81-9324-A05644889CDC}"/>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3A641555-76E8-4CC6-9A5B-9EF3915D135F}"/>
    <cellStyle name="Normal 4 3 2 2 2 2 4 2 3" xfId="11938" xr:uid="{E26F5C67-2707-48EC-8D84-161EB54AAED5}"/>
    <cellStyle name="Normal 4 3 2 2 2 2 4 3" xfId="5572" xr:uid="{00000000-0005-0000-0000-000027140000}"/>
    <cellStyle name="Normal 4 3 2 2 2 2 4 3 2" xfId="14011" xr:uid="{EDC86643-6847-4751-B68C-A933DD500283}"/>
    <cellStyle name="Normal 4 3 2 2 2 2 4 4" xfId="9793" xr:uid="{33231156-8BA6-4460-9672-5B6700226F97}"/>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6AF3A129-7E8F-4068-8C07-1B585BBB8440}"/>
    <cellStyle name="Normal 4 3 2 2 2 2 5 2 3" xfId="12351" xr:uid="{7D8B7410-B72F-474F-A116-0EA1F6FDBD5C}"/>
    <cellStyle name="Normal 4 3 2 2 2 2 5 3" xfId="5985" xr:uid="{00000000-0005-0000-0000-00002B140000}"/>
    <cellStyle name="Normal 4 3 2 2 2 2 5 3 2" xfId="14424" xr:uid="{CA345C7E-A984-48E8-96CF-EC84DDA195CB}"/>
    <cellStyle name="Normal 4 3 2 2 2 2 5 4" xfId="10206" xr:uid="{409C0702-D23A-436A-9845-4D8345BACA36}"/>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282D843D-6623-4D44-9C35-1012619238CA}"/>
    <cellStyle name="Normal 4 3 2 2 2 2 6 2 3" xfId="12764" xr:uid="{A169F6D6-7892-4424-9861-5E5DD3251834}"/>
    <cellStyle name="Normal 4 3 2 2 2 2 6 3" xfId="6398" xr:uid="{00000000-0005-0000-0000-00002F140000}"/>
    <cellStyle name="Normal 4 3 2 2 2 2 6 3 2" xfId="14837" xr:uid="{1E426491-8E29-4EB7-AB96-16B6307322B8}"/>
    <cellStyle name="Normal 4 3 2 2 2 2 6 4" xfId="10619" xr:uid="{5317C8AC-EC6E-45A7-BA6A-872EB653038C}"/>
    <cellStyle name="Normal 4 3 2 2 2 2 7" xfId="2527" xr:uid="{00000000-0005-0000-0000-000030140000}"/>
    <cellStyle name="Normal 4 3 2 2 2 2 7 2" xfId="6811" xr:uid="{00000000-0005-0000-0000-000031140000}"/>
    <cellStyle name="Normal 4 3 2 2 2 2 7 2 2" xfId="15250" xr:uid="{2FD0C53C-BF2D-47B2-A228-C2EE1257EC9D}"/>
    <cellStyle name="Normal 4 3 2 2 2 2 7 3" xfId="11032" xr:uid="{7280CEC1-F0A9-4236-B015-34B31D96E63A}"/>
    <cellStyle name="Normal 4 3 2 2 2 2 8" xfId="4746" xr:uid="{00000000-0005-0000-0000-000032140000}"/>
    <cellStyle name="Normal 4 3 2 2 2 2 8 2" xfId="13185" xr:uid="{D982753B-3593-44FB-9820-EC901094FC29}"/>
    <cellStyle name="Normal 4 3 2 2 2 2 9" xfId="8967" xr:uid="{D6F5C123-BED6-4112-BE27-D83B3294E278}"/>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6ECFA162-161D-421B-B30F-70BAC64AD3A1}"/>
    <cellStyle name="Normal 4 3 2 2 2 3 2 2 3" xfId="11527" xr:uid="{F67E8F61-CA97-49A5-9BD0-A6C0295121D6}"/>
    <cellStyle name="Normal 4 3 2 2 2 3 2 3" xfId="5161" xr:uid="{00000000-0005-0000-0000-000037140000}"/>
    <cellStyle name="Normal 4 3 2 2 2 3 2 3 2" xfId="13600" xr:uid="{1A056724-1764-406E-817A-91142003CA8A}"/>
    <cellStyle name="Normal 4 3 2 2 2 3 2 4" xfId="9382" xr:uid="{F0638B70-65BE-461E-8C2D-F257DD56EC76}"/>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9F0D7162-D334-4AFD-8000-222B7B307A1C}"/>
    <cellStyle name="Normal 4 3 2 2 2 3 3 2 3" xfId="11940" xr:uid="{D89FC55A-953C-4E59-92CC-AAC582F1DBD8}"/>
    <cellStyle name="Normal 4 3 2 2 2 3 3 3" xfId="5574" xr:uid="{00000000-0005-0000-0000-00003B140000}"/>
    <cellStyle name="Normal 4 3 2 2 2 3 3 3 2" xfId="14013" xr:uid="{09AA6436-6C40-488D-A9F4-470ABDD1F24E}"/>
    <cellStyle name="Normal 4 3 2 2 2 3 3 4" xfId="9795" xr:uid="{6F9EFF22-96B6-4BF6-9A30-0F7242D71F84}"/>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039BF47D-D4F2-47C8-B1B4-E294AEBEC909}"/>
    <cellStyle name="Normal 4 3 2 2 2 3 4 2 3" xfId="12353" xr:uid="{88DAC9B6-8226-4745-8E78-D7F2E195EB18}"/>
    <cellStyle name="Normal 4 3 2 2 2 3 4 3" xfId="5987" xr:uid="{00000000-0005-0000-0000-00003F140000}"/>
    <cellStyle name="Normal 4 3 2 2 2 3 4 3 2" xfId="14426" xr:uid="{D4A31927-F928-4E3B-A57D-2B21D6C81C3F}"/>
    <cellStyle name="Normal 4 3 2 2 2 3 4 4" xfId="10208" xr:uid="{FDFF6C96-8BDE-451F-A4C1-75091B5222BC}"/>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E586F7C9-118D-45AA-AB21-C285731CB0BA}"/>
    <cellStyle name="Normal 4 3 2 2 2 3 5 2 3" xfId="12766" xr:uid="{89C9068F-7C5A-401F-B757-30460D7274A9}"/>
    <cellStyle name="Normal 4 3 2 2 2 3 5 3" xfId="6400" xr:uid="{00000000-0005-0000-0000-000043140000}"/>
    <cellStyle name="Normal 4 3 2 2 2 3 5 3 2" xfId="14839" xr:uid="{35A3E6FD-D8E2-4F10-BCC5-BD10BBA0360B}"/>
    <cellStyle name="Normal 4 3 2 2 2 3 5 4" xfId="10621" xr:uid="{97468563-22B5-4057-A049-FB9E999E35A8}"/>
    <cellStyle name="Normal 4 3 2 2 2 3 6" xfId="2529" xr:uid="{00000000-0005-0000-0000-000044140000}"/>
    <cellStyle name="Normal 4 3 2 2 2 3 6 2" xfId="6813" xr:uid="{00000000-0005-0000-0000-000045140000}"/>
    <cellStyle name="Normal 4 3 2 2 2 3 6 2 2" xfId="15252" xr:uid="{BDB713BC-B38A-4A82-A9F5-30B154B650F0}"/>
    <cellStyle name="Normal 4 3 2 2 2 3 6 3" xfId="11034" xr:uid="{5F720C8F-BD41-4249-934B-614069D4228F}"/>
    <cellStyle name="Normal 4 3 2 2 2 3 7" xfId="4748" xr:uid="{00000000-0005-0000-0000-000046140000}"/>
    <cellStyle name="Normal 4 3 2 2 2 3 7 2" xfId="13187" xr:uid="{7F79474A-C7A3-46D0-BDC8-5DC4A37FE240}"/>
    <cellStyle name="Normal 4 3 2 2 2 3 8" xfId="8969" xr:uid="{5874DEC8-9EB6-4DDF-AAD2-35DC0701EFC3}"/>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6BEFB334-6968-4BFD-9825-076F330058BF}"/>
    <cellStyle name="Normal 4 3 2 2 2 4 2 3" xfId="11524" xr:uid="{00CC4A70-ED94-48D9-960C-A2613250AD8D}"/>
    <cellStyle name="Normal 4 3 2 2 2 4 3" xfId="5158" xr:uid="{00000000-0005-0000-0000-00004A140000}"/>
    <cellStyle name="Normal 4 3 2 2 2 4 3 2" xfId="13597" xr:uid="{8C9FD8CF-D5AE-4369-8ECD-92E5EC1000B0}"/>
    <cellStyle name="Normal 4 3 2 2 2 4 4" xfId="9379" xr:uid="{20B5F1EC-0BDC-43D3-A706-512BDD7DCD4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C5660A0E-A7DA-45E5-AC56-A19081F7E85C}"/>
    <cellStyle name="Normal 4 3 2 2 2 5 2 3" xfId="11937" xr:uid="{95B8400C-DDA3-45ED-BF5F-F1E0FBD5338F}"/>
    <cellStyle name="Normal 4 3 2 2 2 5 3" xfId="5571" xr:uid="{00000000-0005-0000-0000-00004E140000}"/>
    <cellStyle name="Normal 4 3 2 2 2 5 3 2" xfId="14010" xr:uid="{C8436205-6F53-478D-AD5C-0841A31AA5B5}"/>
    <cellStyle name="Normal 4 3 2 2 2 5 4" xfId="9792" xr:uid="{6F6F451A-AB09-497B-9F38-5C6B65349242}"/>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EC5C93BE-1C8F-41CD-AFCA-C0D495B4C574}"/>
    <cellStyle name="Normal 4 3 2 2 2 6 2 3" xfId="12350" xr:uid="{3F1DC095-D072-494B-AEBD-40B35AB87AF2}"/>
    <cellStyle name="Normal 4 3 2 2 2 6 3" xfId="5984" xr:uid="{00000000-0005-0000-0000-000052140000}"/>
    <cellStyle name="Normal 4 3 2 2 2 6 3 2" xfId="14423" xr:uid="{B57B257B-C1FA-488E-8D76-7486D8A80D7A}"/>
    <cellStyle name="Normal 4 3 2 2 2 6 4" xfId="10205" xr:uid="{89B434BB-0471-4565-99B7-654539D1FA9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71275D1E-A32F-4D25-8734-8DB73F1D7C65}"/>
    <cellStyle name="Normal 4 3 2 2 2 7 2 3" xfId="12763" xr:uid="{23B926C0-CCE2-43F8-99F9-289FE8E43AF1}"/>
    <cellStyle name="Normal 4 3 2 2 2 7 3" xfId="6397" xr:uid="{00000000-0005-0000-0000-000056140000}"/>
    <cellStyle name="Normal 4 3 2 2 2 7 3 2" xfId="14836" xr:uid="{628EE002-1CB7-4620-91EE-26E3A2261A92}"/>
    <cellStyle name="Normal 4 3 2 2 2 7 4" xfId="10618" xr:uid="{BDAE9387-E218-4BEA-9C99-2F46431F721C}"/>
    <cellStyle name="Normal 4 3 2 2 2 8" xfId="2526" xr:uid="{00000000-0005-0000-0000-000057140000}"/>
    <cellStyle name="Normal 4 3 2 2 2 8 2" xfId="6810" xr:uid="{00000000-0005-0000-0000-000058140000}"/>
    <cellStyle name="Normal 4 3 2 2 2 8 2 2" xfId="15249" xr:uid="{7288E0F0-293C-46D0-817E-18B4254FC74C}"/>
    <cellStyle name="Normal 4 3 2 2 2 8 3" xfId="11031" xr:uid="{7AC5B208-FC63-40BE-9282-0BAA60DF8CED}"/>
    <cellStyle name="Normal 4 3 2 2 2 9" xfId="4745" xr:uid="{00000000-0005-0000-0000-000059140000}"/>
    <cellStyle name="Normal 4 3 2 2 2 9 2" xfId="13184" xr:uid="{70FA7304-250A-4CE8-8B1F-20CCDEDDE196}"/>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7ECDD492-AA4B-4E8C-B526-8DF52A46322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B412DCFE-03BC-4494-9262-B10339843BDA}"/>
    <cellStyle name="Normal 4 3 3 2 2 2 2 3" xfId="11530" xr:uid="{61AE135E-EA8A-4A43-AB4D-FA617E46678F}"/>
    <cellStyle name="Normal 4 3 3 2 2 2 3" xfId="5164" xr:uid="{00000000-0005-0000-0000-000063140000}"/>
    <cellStyle name="Normal 4 3 3 2 2 2 3 2" xfId="13603" xr:uid="{8F3E719F-954B-40DB-B225-C038F64CA2EA}"/>
    <cellStyle name="Normal 4 3 3 2 2 2 4" xfId="9385" xr:uid="{53B5DDEA-6465-4BF0-84B2-0ABE242C69F2}"/>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72208B37-2A14-403C-A539-3BF6FC7665B7}"/>
    <cellStyle name="Normal 4 3 3 2 2 3 2 3" xfId="11943" xr:uid="{49E700FE-10AD-414D-AF2D-92B852AD7A1E}"/>
    <cellStyle name="Normal 4 3 3 2 2 3 3" xfId="5577" xr:uid="{00000000-0005-0000-0000-000067140000}"/>
    <cellStyle name="Normal 4 3 3 2 2 3 3 2" xfId="14016" xr:uid="{DE8212E5-7968-497F-901C-4A1EE7E59CFD}"/>
    <cellStyle name="Normal 4 3 3 2 2 3 4" xfId="9798" xr:uid="{CC581A57-F85E-4D1F-ACC9-D7E9203D22B4}"/>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ACC2DEA7-1A59-44C9-81F6-474C1FD04727}"/>
    <cellStyle name="Normal 4 3 3 2 2 4 2 3" xfId="12356" xr:uid="{6D86EC9F-200D-4677-92C5-AF79493A36BB}"/>
    <cellStyle name="Normal 4 3 3 2 2 4 3" xfId="5990" xr:uid="{00000000-0005-0000-0000-00006B140000}"/>
    <cellStyle name="Normal 4 3 3 2 2 4 3 2" xfId="14429" xr:uid="{3E2FFB05-1FF1-4938-A9D2-EF4F49BA909C}"/>
    <cellStyle name="Normal 4 3 3 2 2 4 4" xfId="10211" xr:uid="{7ABE80C0-04F6-4E40-AEBA-17E2432EFBC2}"/>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940A2282-1518-435F-9AE0-79957257B106}"/>
    <cellStyle name="Normal 4 3 3 2 2 5 2 3" xfId="12769" xr:uid="{DB6DB496-79FA-44F7-BD4D-56CAC99E7C1D}"/>
    <cellStyle name="Normal 4 3 3 2 2 5 3" xfId="6403" xr:uid="{00000000-0005-0000-0000-00006F140000}"/>
    <cellStyle name="Normal 4 3 3 2 2 5 3 2" xfId="14842" xr:uid="{BCC02FC4-7739-4FE1-8400-0194371B44DD}"/>
    <cellStyle name="Normal 4 3 3 2 2 5 4" xfId="10624" xr:uid="{EE1F198F-98EB-41B5-8F5E-74C1D6F552F0}"/>
    <cellStyle name="Normal 4 3 3 2 2 6" xfId="2532" xr:uid="{00000000-0005-0000-0000-000070140000}"/>
    <cellStyle name="Normal 4 3 3 2 2 6 2" xfId="6816" xr:uid="{00000000-0005-0000-0000-000071140000}"/>
    <cellStyle name="Normal 4 3 3 2 2 6 2 2" xfId="15255" xr:uid="{4FA16AC3-6849-436B-9353-8DCC3833C492}"/>
    <cellStyle name="Normal 4 3 3 2 2 6 3" xfId="11037" xr:uid="{A852B05C-E755-4A1D-B5FC-95A6873D00A4}"/>
    <cellStyle name="Normal 4 3 3 2 2 7" xfId="4751" xr:uid="{00000000-0005-0000-0000-000072140000}"/>
    <cellStyle name="Normal 4 3 3 2 2 7 2" xfId="13190" xr:uid="{41848F66-3A15-4525-BDAF-EAE0D15522F3}"/>
    <cellStyle name="Normal 4 3 3 2 2 8" xfId="8972" xr:uid="{156E3850-551A-43F0-98C6-B87B9178A152}"/>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22EF35C1-F3A7-4635-A840-12A288E2791D}"/>
    <cellStyle name="Normal 4 3 3 2 3 2 3" xfId="11529" xr:uid="{81936078-3703-428A-A00E-807DF945AB67}"/>
    <cellStyle name="Normal 4 3 3 2 3 3" xfId="5163" xr:uid="{00000000-0005-0000-0000-000076140000}"/>
    <cellStyle name="Normal 4 3 3 2 3 3 2" xfId="13602" xr:uid="{DDF24A8D-5443-4096-A0FB-24924D1B9495}"/>
    <cellStyle name="Normal 4 3 3 2 3 4" xfId="9384" xr:uid="{45B646C2-D815-4EC5-A97A-6F2130D073FA}"/>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7637A184-C817-44EF-9B81-E0A612EC845D}"/>
    <cellStyle name="Normal 4 3 3 2 4 2 3" xfId="11942" xr:uid="{FBF1B514-08CD-40A5-B0DF-2F996B222A97}"/>
    <cellStyle name="Normal 4 3 3 2 4 3" xfId="5576" xr:uid="{00000000-0005-0000-0000-00007A140000}"/>
    <cellStyle name="Normal 4 3 3 2 4 3 2" xfId="14015" xr:uid="{1A7E910F-7586-459C-8E89-6DBC865CF46F}"/>
    <cellStyle name="Normal 4 3 3 2 4 4" xfId="9797" xr:uid="{121D52B5-0EEE-4616-ADCD-59B222981582}"/>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BDA6E177-B786-46A6-ADAC-600D7CF7AC62}"/>
    <cellStyle name="Normal 4 3 3 2 5 2 3" xfId="12355" xr:uid="{C1B6647C-4B5B-4C66-87F8-B9A86963181A}"/>
    <cellStyle name="Normal 4 3 3 2 5 3" xfId="5989" xr:uid="{00000000-0005-0000-0000-00007E140000}"/>
    <cellStyle name="Normal 4 3 3 2 5 3 2" xfId="14428" xr:uid="{51AEB7C7-0CE4-409A-9F9E-F278E7974AA0}"/>
    <cellStyle name="Normal 4 3 3 2 5 4" xfId="10210" xr:uid="{0BE01C65-8D2B-4B8A-8737-FF257471E01A}"/>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7ED6E755-E28F-4D50-BF85-C8BAF6D88245}"/>
    <cellStyle name="Normal 4 3 3 2 6 2 3" xfId="12768" xr:uid="{F6502800-8038-4AE4-B767-924C685A95CC}"/>
    <cellStyle name="Normal 4 3 3 2 6 3" xfId="6402" xr:uid="{00000000-0005-0000-0000-000082140000}"/>
    <cellStyle name="Normal 4 3 3 2 6 3 2" xfId="14841" xr:uid="{DE33F0D4-C53E-45D3-B91A-E5F2032D52BA}"/>
    <cellStyle name="Normal 4 3 3 2 6 4" xfId="10623" xr:uid="{C18ACAF0-FD9F-4AB2-B828-4483BA6EB625}"/>
    <cellStyle name="Normal 4 3 3 2 7" xfId="2531" xr:uid="{00000000-0005-0000-0000-000083140000}"/>
    <cellStyle name="Normal 4 3 3 2 7 2" xfId="6815" xr:uid="{00000000-0005-0000-0000-000084140000}"/>
    <cellStyle name="Normal 4 3 3 2 7 2 2" xfId="15254" xr:uid="{828C2FA0-127A-4F30-ADC2-4C15469C8A8B}"/>
    <cellStyle name="Normal 4 3 3 2 7 3" xfId="11036" xr:uid="{4A61235A-BA38-41F5-9B30-53B03CF28E4E}"/>
    <cellStyle name="Normal 4 3 3 2 8" xfId="4750" xr:uid="{00000000-0005-0000-0000-000085140000}"/>
    <cellStyle name="Normal 4 3 3 2 8 2" xfId="13189" xr:uid="{EE2999D0-5612-4CB7-A47C-222394A6E54A}"/>
    <cellStyle name="Normal 4 3 3 2 9" xfId="8971" xr:uid="{0A797277-3340-409E-B8D8-EE431C8FB7C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E8BA4D37-4BF1-4239-B4B9-45B992E102DA}"/>
    <cellStyle name="Normal 4 3 3 3 2 2 3" xfId="11531" xr:uid="{F1D16E38-BBEC-47DC-8B92-6F028792474E}"/>
    <cellStyle name="Normal 4 3 3 3 2 3" xfId="5165" xr:uid="{00000000-0005-0000-0000-00008A140000}"/>
    <cellStyle name="Normal 4 3 3 3 2 3 2" xfId="13604" xr:uid="{D900A7ED-8994-4A6D-93DD-12B23F05DC37}"/>
    <cellStyle name="Normal 4 3 3 3 2 4" xfId="9386" xr:uid="{3C636AF7-0FE6-4368-B198-16F0C1E52B46}"/>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DE266645-EFEB-4949-90A6-79E75ED3335A}"/>
    <cellStyle name="Normal 4 3 3 3 3 2 3" xfId="11944" xr:uid="{82AE15FA-194D-4D43-8E44-59EF6E936AAA}"/>
    <cellStyle name="Normal 4 3 3 3 3 3" xfId="5578" xr:uid="{00000000-0005-0000-0000-00008E140000}"/>
    <cellStyle name="Normal 4 3 3 3 3 3 2" xfId="14017" xr:uid="{C781A2EC-5F17-4295-9AC0-32B73C7A2DB7}"/>
    <cellStyle name="Normal 4 3 3 3 3 4" xfId="9799" xr:uid="{9BC71AA9-6643-4820-969A-48F17301456F}"/>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AB8602C0-0A84-4429-86FE-F565B7965E22}"/>
    <cellStyle name="Normal 4 3 3 3 4 2 3" xfId="12357" xr:uid="{452FCFCD-E31B-41C8-B84A-06A2B2038848}"/>
    <cellStyle name="Normal 4 3 3 3 4 3" xfId="5991" xr:uid="{00000000-0005-0000-0000-000092140000}"/>
    <cellStyle name="Normal 4 3 3 3 4 3 2" xfId="14430" xr:uid="{EA88C524-7299-401C-AF71-716F39B86727}"/>
    <cellStyle name="Normal 4 3 3 3 4 4" xfId="10212" xr:uid="{62183D4E-8491-4C9F-8678-3CBBA16A60AD}"/>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F76E42FE-9750-4CAC-8565-ADAAB68543C1}"/>
    <cellStyle name="Normal 4 3 3 3 5 2 3" xfId="12770" xr:uid="{8C333684-BC32-4AED-8FD4-5F46C0982F5C}"/>
    <cellStyle name="Normal 4 3 3 3 5 3" xfId="6404" xr:uid="{00000000-0005-0000-0000-000096140000}"/>
    <cellStyle name="Normal 4 3 3 3 5 3 2" xfId="14843" xr:uid="{7A819ACF-8DE6-448B-9C49-2235D8FEBA34}"/>
    <cellStyle name="Normal 4 3 3 3 5 4" xfId="10625" xr:uid="{D1065EAC-6F27-4CCF-B2E4-5923049E417F}"/>
    <cellStyle name="Normal 4 3 3 3 6" xfId="2533" xr:uid="{00000000-0005-0000-0000-000097140000}"/>
    <cellStyle name="Normal 4 3 3 3 6 2" xfId="6817" xr:uid="{00000000-0005-0000-0000-000098140000}"/>
    <cellStyle name="Normal 4 3 3 3 6 2 2" xfId="15256" xr:uid="{AE00E8C6-839D-425B-8313-64E65D0EA36E}"/>
    <cellStyle name="Normal 4 3 3 3 6 3" xfId="11038" xr:uid="{D1FD82F8-1831-4E2B-8A3B-764600FB997C}"/>
    <cellStyle name="Normal 4 3 3 3 7" xfId="4752" xr:uid="{00000000-0005-0000-0000-000099140000}"/>
    <cellStyle name="Normal 4 3 3 3 7 2" xfId="13191" xr:uid="{CC978DE8-2353-40EC-ACB8-7C32A5430DB5}"/>
    <cellStyle name="Normal 4 3 3 3 8" xfId="8973" xr:uid="{3FC191B2-EFFA-4C27-BB84-B76AF1AF4F9E}"/>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8E5B78B7-B823-4D12-A322-F09731C00245}"/>
    <cellStyle name="Normal 4 3 3 4 2 3" xfId="11528" xr:uid="{4AE94A05-6B43-4190-B6A8-B31DB3479FB6}"/>
    <cellStyle name="Normal 4 3 3 4 3" xfId="5162" xr:uid="{00000000-0005-0000-0000-00009D140000}"/>
    <cellStyle name="Normal 4 3 3 4 3 2" xfId="13601" xr:uid="{7C80D26A-20C0-409F-B058-1BC97474CF11}"/>
    <cellStyle name="Normal 4 3 3 4 4" xfId="9383" xr:uid="{CD10F768-AAAC-4A15-BD46-80AD7461A6E2}"/>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C0132693-D107-48EB-BCA8-BACFAC2BEA50}"/>
    <cellStyle name="Normal 4 3 3 5 2 3" xfId="11941" xr:uid="{B4CFD3BD-B17E-4DC5-A358-4FDC4557546B}"/>
    <cellStyle name="Normal 4 3 3 5 3" xfId="5575" xr:uid="{00000000-0005-0000-0000-0000A1140000}"/>
    <cellStyle name="Normal 4 3 3 5 3 2" xfId="14014" xr:uid="{B1EACC63-EB3A-4DB5-9FAE-278B3FE1A8D1}"/>
    <cellStyle name="Normal 4 3 3 5 4" xfId="9796" xr:uid="{1592613C-58B1-4049-B30C-D95CB596A434}"/>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34C54F54-6C60-433E-AA97-1F20E525F55D}"/>
    <cellStyle name="Normal 4 3 3 6 2 3" xfId="12354" xr:uid="{F87E30A9-C556-42F4-A8B7-7B2B19C542F5}"/>
    <cellStyle name="Normal 4 3 3 6 3" xfId="5988" xr:uid="{00000000-0005-0000-0000-0000A5140000}"/>
    <cellStyle name="Normal 4 3 3 6 3 2" xfId="14427" xr:uid="{37B3EF5A-94D7-44C9-AD5F-AFE8F80C6ADB}"/>
    <cellStyle name="Normal 4 3 3 6 4" xfId="10209" xr:uid="{BBF38FD9-04CE-43E3-89DB-CD50839A813E}"/>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2EEFB68C-2B98-4861-83FB-0D46904B345D}"/>
    <cellStyle name="Normal 4 3 3 7 2 3" xfId="12767" xr:uid="{92E72F10-4A5D-4582-8167-D9FFF538E423}"/>
    <cellStyle name="Normal 4 3 3 7 3" xfId="6401" xr:uid="{00000000-0005-0000-0000-0000A9140000}"/>
    <cellStyle name="Normal 4 3 3 7 3 2" xfId="14840" xr:uid="{0FC7B054-F076-476F-ACD1-14F059DEB080}"/>
    <cellStyle name="Normal 4 3 3 7 4" xfId="10622" xr:uid="{0F1E408D-53B5-44C8-B3CC-78356E051946}"/>
    <cellStyle name="Normal 4 3 3 8" xfId="2530" xr:uid="{00000000-0005-0000-0000-0000AA140000}"/>
    <cellStyle name="Normal 4 3 3 8 2" xfId="6814" xr:uid="{00000000-0005-0000-0000-0000AB140000}"/>
    <cellStyle name="Normal 4 3 3 8 2 2" xfId="15253" xr:uid="{B0106A2B-7CCD-4BEB-9209-140BA63BEB7D}"/>
    <cellStyle name="Normal 4 3 3 8 3" xfId="11035" xr:uid="{51285874-CE69-4258-A8B3-C2798F52D18B}"/>
    <cellStyle name="Normal 4 3 3 9" xfId="4749" xr:uid="{00000000-0005-0000-0000-0000AC140000}"/>
    <cellStyle name="Normal 4 3 3 9 2" xfId="13188" xr:uid="{F6164554-4D62-46C9-8BBF-C4922EA88ECD}"/>
    <cellStyle name="Normal 4 3 4" xfId="842" xr:uid="{00000000-0005-0000-0000-0000AD140000}"/>
    <cellStyle name="Normal 4 3 4 2" xfId="3079" xr:uid="{00000000-0005-0000-0000-0000AE140000}"/>
    <cellStyle name="Normal 4 3 4 2 2" xfId="7302" xr:uid="{00000000-0005-0000-0000-0000AF140000}"/>
    <cellStyle name="Normal 4 3 4 2 2 2" xfId="15741" xr:uid="{7E090806-D11A-4809-9B79-2B0AF3BD7BFA}"/>
    <cellStyle name="Normal 4 3 4 2 3" xfId="11523" xr:uid="{2145BFE7-2DBA-4B66-8D8D-8CBCF1FE6FDE}"/>
    <cellStyle name="Normal 4 3 4 3" xfId="5157" xr:uid="{00000000-0005-0000-0000-0000B0140000}"/>
    <cellStyle name="Normal 4 3 4 3 2" xfId="13596" xr:uid="{E08D995D-4192-47D0-A037-9ADFD3E54291}"/>
    <cellStyle name="Normal 4 3 4 4" xfId="9378" xr:uid="{D8842B2E-E2EB-4E05-ADAE-5B7B58F8F26F}"/>
    <cellStyle name="Normal 4 3 5" xfId="1262" xr:uid="{00000000-0005-0000-0000-0000B1140000}"/>
    <cellStyle name="Normal 4 3 5 2" xfId="3492" xr:uid="{00000000-0005-0000-0000-0000B2140000}"/>
    <cellStyle name="Normal 4 3 5 2 2" xfId="7715" xr:uid="{00000000-0005-0000-0000-0000B3140000}"/>
    <cellStyle name="Normal 4 3 5 2 2 2" xfId="16154" xr:uid="{69CC1894-6221-4612-89FA-B623E03FD6F3}"/>
    <cellStyle name="Normal 4 3 5 2 3" xfId="11936" xr:uid="{FB1B9789-5D2D-4081-905F-8F2B6B83D7FF}"/>
    <cellStyle name="Normal 4 3 5 3" xfId="5570" xr:uid="{00000000-0005-0000-0000-0000B4140000}"/>
    <cellStyle name="Normal 4 3 5 3 2" xfId="14009" xr:uid="{8D6AC6F4-3E9A-4411-853F-8BC896CAC77D}"/>
    <cellStyle name="Normal 4 3 5 4" xfId="9791" xr:uid="{8B013FC5-4A63-4BB2-9A48-56F2A8450389}"/>
    <cellStyle name="Normal 4 3 6" xfId="1675" xr:uid="{00000000-0005-0000-0000-0000B5140000}"/>
    <cellStyle name="Normal 4 3 6 2" xfId="3905" xr:uid="{00000000-0005-0000-0000-0000B6140000}"/>
    <cellStyle name="Normal 4 3 6 2 2" xfId="8128" xr:uid="{00000000-0005-0000-0000-0000B7140000}"/>
    <cellStyle name="Normal 4 3 6 2 2 2" xfId="16567" xr:uid="{DEE681C0-11DC-442A-88A9-9DF0D5C5B988}"/>
    <cellStyle name="Normal 4 3 6 2 3" xfId="12349" xr:uid="{0A904F3C-4B8B-4C65-A990-9708E00744B0}"/>
    <cellStyle name="Normal 4 3 6 3" xfId="5983" xr:uid="{00000000-0005-0000-0000-0000B8140000}"/>
    <cellStyle name="Normal 4 3 6 3 2" xfId="14422" xr:uid="{3377F591-74BE-48E2-87BB-A134E7A15797}"/>
    <cellStyle name="Normal 4 3 6 4" xfId="10204" xr:uid="{58633662-E9E1-407E-B25A-0101D0831DD2}"/>
    <cellStyle name="Normal 4 3 7" xfId="2089" xr:uid="{00000000-0005-0000-0000-0000B9140000}"/>
    <cellStyle name="Normal 4 3 7 2" xfId="4318" xr:uid="{00000000-0005-0000-0000-0000BA140000}"/>
    <cellStyle name="Normal 4 3 7 2 2" xfId="8541" xr:uid="{00000000-0005-0000-0000-0000BB140000}"/>
    <cellStyle name="Normal 4 3 7 2 2 2" xfId="16980" xr:uid="{15F11355-8074-4099-BE02-F410E95F1929}"/>
    <cellStyle name="Normal 4 3 7 2 3" xfId="12762" xr:uid="{FC385874-53E3-41EA-BCCE-C9353C0B5381}"/>
    <cellStyle name="Normal 4 3 7 3" xfId="6396" xr:uid="{00000000-0005-0000-0000-0000BC140000}"/>
    <cellStyle name="Normal 4 3 7 3 2" xfId="14835" xr:uid="{F12D1F53-CFFE-4A66-AB1C-33F9320FF8AD}"/>
    <cellStyle name="Normal 4 3 7 4" xfId="10617" xr:uid="{A3B83E11-D643-4E47-9B2A-0F6A71A56475}"/>
    <cellStyle name="Normal 4 3 8" xfId="2525" xr:uid="{00000000-0005-0000-0000-0000BD140000}"/>
    <cellStyle name="Normal 4 3 8 2" xfId="6809" xr:uid="{00000000-0005-0000-0000-0000BE140000}"/>
    <cellStyle name="Normal 4 3 8 2 2" xfId="15248" xr:uid="{69C3C2EF-9346-4117-BE9F-1B5EF04E5479}"/>
    <cellStyle name="Normal 4 3 8 3" xfId="11030" xr:uid="{CF7629B5-E20F-4DF3-AABC-304956FB90DF}"/>
    <cellStyle name="Normal 4 3 9" xfId="4744" xr:uid="{00000000-0005-0000-0000-0000BF140000}"/>
    <cellStyle name="Normal 4 3 9 2" xfId="13183" xr:uid="{49DD57FC-0F46-43AB-87F2-3AD491C48BFF}"/>
    <cellStyle name="Normal 4 4" xfId="378" xr:uid="{00000000-0005-0000-0000-0000C0140000}"/>
    <cellStyle name="Normal 4 4 10" xfId="2534" xr:uid="{00000000-0005-0000-0000-0000C1140000}"/>
    <cellStyle name="Normal 4 4 10 2" xfId="6818" xr:uid="{00000000-0005-0000-0000-0000C2140000}"/>
    <cellStyle name="Normal 4 4 10 2 2" xfId="15257" xr:uid="{B0456F01-E8E4-4487-BEAA-4939D38712B1}"/>
    <cellStyle name="Normal 4 4 10 3" xfId="11039" xr:uid="{5E549FDD-258A-420C-8B8C-390F8F18E6CB}"/>
    <cellStyle name="Normal 4 4 11" xfId="4753" xr:uid="{00000000-0005-0000-0000-0000C3140000}"/>
    <cellStyle name="Normal 4 4 11 2" xfId="13192" xr:uid="{F46AE98B-A63C-4323-856C-9A45DD598325}"/>
    <cellStyle name="Normal 4 4 12" xfId="8974" xr:uid="{EA8E1A18-DF24-455C-A3E6-8B504B86F4E8}"/>
    <cellStyle name="Normal 4 4 2" xfId="379" xr:uid="{00000000-0005-0000-0000-0000C4140000}"/>
    <cellStyle name="Normal 4 4 2 10" xfId="4754" xr:uid="{00000000-0005-0000-0000-0000C5140000}"/>
    <cellStyle name="Normal 4 4 2 10 2" xfId="13193" xr:uid="{9BD021F4-6A33-4F83-943C-57FD1036C140}"/>
    <cellStyle name="Normal 4 4 2 11" xfId="8975" xr:uid="{3B112B06-5DCE-4AFB-8789-AB8D88B566E4}"/>
    <cellStyle name="Normal 4 4 2 2" xfId="380" xr:uid="{00000000-0005-0000-0000-0000C6140000}"/>
    <cellStyle name="Normal 4 4 2 2 10" xfId="8976" xr:uid="{8C4814E9-04B7-4CB9-B191-D411EA6BDD0F}"/>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66CFEF24-DE86-42C0-96C7-44FF5C39944F}"/>
    <cellStyle name="Normal 4 4 2 2 2 2 2 2 3" xfId="11536" xr:uid="{E827A593-A871-4C0A-BDDB-B03E3C2A19D1}"/>
    <cellStyle name="Normal 4 4 2 2 2 2 2 3" xfId="5170" xr:uid="{00000000-0005-0000-0000-0000CC140000}"/>
    <cellStyle name="Normal 4 4 2 2 2 2 2 3 2" xfId="13609" xr:uid="{E34AAA87-A46D-4C8D-B9E7-5C1CC7AA8EFE}"/>
    <cellStyle name="Normal 4 4 2 2 2 2 2 4" xfId="9391" xr:uid="{F83B0F1E-4CC5-4208-9376-45D1531D297E}"/>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3D9B60BB-94CA-4792-A960-0AEC8F2D8B9B}"/>
    <cellStyle name="Normal 4 4 2 2 2 2 3 2 3" xfId="11949" xr:uid="{3D3D7B1B-74C8-4F36-B871-F5EF14341AF7}"/>
    <cellStyle name="Normal 4 4 2 2 2 2 3 3" xfId="5583" xr:uid="{00000000-0005-0000-0000-0000D0140000}"/>
    <cellStyle name="Normal 4 4 2 2 2 2 3 3 2" xfId="14022" xr:uid="{AB0D6F44-8507-410D-97CC-F54D80D8AAE4}"/>
    <cellStyle name="Normal 4 4 2 2 2 2 3 4" xfId="9804" xr:uid="{443AC309-F993-41C9-B3FC-7C2FB0779E69}"/>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1D25D600-DCB6-4949-9F42-BBB15CD301DA}"/>
    <cellStyle name="Normal 4 4 2 2 2 2 4 2 3" xfId="12362" xr:uid="{899FFC88-4ADE-4D4C-903C-F06B6D724E64}"/>
    <cellStyle name="Normal 4 4 2 2 2 2 4 3" xfId="5996" xr:uid="{00000000-0005-0000-0000-0000D4140000}"/>
    <cellStyle name="Normal 4 4 2 2 2 2 4 3 2" xfId="14435" xr:uid="{C9F6D1DE-1E4F-47F9-A1B7-A9BEE7C1B9A7}"/>
    <cellStyle name="Normal 4 4 2 2 2 2 4 4" xfId="10217" xr:uid="{C59CBADC-D9D1-406A-B34B-C9E016F005A7}"/>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0E553BBA-C3CB-459A-818C-007861273857}"/>
    <cellStyle name="Normal 4 4 2 2 2 2 5 2 3" xfId="12775" xr:uid="{1ACBB2CF-4C1F-46C0-A3AF-21AF32A7CBF5}"/>
    <cellStyle name="Normal 4 4 2 2 2 2 5 3" xfId="6409" xr:uid="{00000000-0005-0000-0000-0000D8140000}"/>
    <cellStyle name="Normal 4 4 2 2 2 2 5 3 2" xfId="14848" xr:uid="{8354D291-E82A-40BE-985D-C387186CDE13}"/>
    <cellStyle name="Normal 4 4 2 2 2 2 5 4" xfId="10630" xr:uid="{FCA1B1D3-710B-4CF7-8D9D-EEE2B00EAC7C}"/>
    <cellStyle name="Normal 4 4 2 2 2 2 6" xfId="2538" xr:uid="{00000000-0005-0000-0000-0000D9140000}"/>
    <cellStyle name="Normal 4 4 2 2 2 2 6 2" xfId="6822" xr:uid="{00000000-0005-0000-0000-0000DA140000}"/>
    <cellStyle name="Normal 4 4 2 2 2 2 6 2 2" xfId="15261" xr:uid="{185819B9-0751-4CE4-9C52-FCF406A25F5A}"/>
    <cellStyle name="Normal 4 4 2 2 2 2 6 3" xfId="11043" xr:uid="{36B83B5E-AA87-42BD-BA45-7FDA71830949}"/>
    <cellStyle name="Normal 4 4 2 2 2 2 7" xfId="4757" xr:uid="{00000000-0005-0000-0000-0000DB140000}"/>
    <cellStyle name="Normal 4 4 2 2 2 2 7 2" xfId="13196" xr:uid="{1EA6D3FF-3330-442B-8E7C-3A4DBE051291}"/>
    <cellStyle name="Normal 4 4 2 2 2 2 8" xfId="8978" xr:uid="{8B8370B4-9F8C-4B33-A8AC-FB7EFC512A31}"/>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ECC7DD96-4294-409D-B1A0-02C7C888DC0A}"/>
    <cellStyle name="Normal 4 4 2 2 2 3 2 3" xfId="11535" xr:uid="{00083893-585A-4D69-9C94-4F4EAEFCF843}"/>
    <cellStyle name="Normal 4 4 2 2 2 3 3" xfId="5169" xr:uid="{00000000-0005-0000-0000-0000DF140000}"/>
    <cellStyle name="Normal 4 4 2 2 2 3 3 2" xfId="13608" xr:uid="{10F53A82-A2B7-459B-8BC9-376F54F6FF3D}"/>
    <cellStyle name="Normal 4 4 2 2 2 3 4" xfId="9390" xr:uid="{20424E6E-62E6-411B-AEF0-B351F263BD11}"/>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82329EF0-E23D-4110-BC15-F54D8DFDD6C4}"/>
    <cellStyle name="Normal 4 4 2 2 2 4 2 3" xfId="11948" xr:uid="{C3291D07-52E8-443D-A4F8-2FE628A8ED7D}"/>
    <cellStyle name="Normal 4 4 2 2 2 4 3" xfId="5582" xr:uid="{00000000-0005-0000-0000-0000E3140000}"/>
    <cellStyle name="Normal 4 4 2 2 2 4 3 2" xfId="14021" xr:uid="{73535DAA-6F2C-4AEB-BF7A-C039CAD59325}"/>
    <cellStyle name="Normal 4 4 2 2 2 4 4" xfId="9803" xr:uid="{61FE9E3E-6037-423A-9EAF-969F0E13BE91}"/>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F9315B80-7827-4BFE-846C-75783645A004}"/>
    <cellStyle name="Normal 4 4 2 2 2 5 2 3" xfId="12361" xr:uid="{C59EA3B1-C2DE-4434-B621-4BC9CF5554C5}"/>
    <cellStyle name="Normal 4 4 2 2 2 5 3" xfId="5995" xr:uid="{00000000-0005-0000-0000-0000E7140000}"/>
    <cellStyle name="Normal 4 4 2 2 2 5 3 2" xfId="14434" xr:uid="{28EEBD4A-7D47-4D93-A226-001D66A9B270}"/>
    <cellStyle name="Normal 4 4 2 2 2 5 4" xfId="10216" xr:uid="{320F5763-9BC5-4C76-927C-D8F07CF577F2}"/>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49F4095F-066C-44D9-928B-AF04DA917C4B}"/>
    <cellStyle name="Normal 4 4 2 2 2 6 2 3" xfId="12774" xr:uid="{D2462646-42D4-40F4-9B7F-4D10E0F3EAEB}"/>
    <cellStyle name="Normal 4 4 2 2 2 6 3" xfId="6408" xr:uid="{00000000-0005-0000-0000-0000EB140000}"/>
    <cellStyle name="Normal 4 4 2 2 2 6 3 2" xfId="14847" xr:uid="{70A20173-32A2-4333-92BB-A1B576E9C7C9}"/>
    <cellStyle name="Normal 4 4 2 2 2 6 4" xfId="10629" xr:uid="{257670EB-F4C9-403B-B127-E37CB47D3A7A}"/>
    <cellStyle name="Normal 4 4 2 2 2 7" xfId="2537" xr:uid="{00000000-0005-0000-0000-0000EC140000}"/>
    <cellStyle name="Normal 4 4 2 2 2 7 2" xfId="6821" xr:uid="{00000000-0005-0000-0000-0000ED140000}"/>
    <cellStyle name="Normal 4 4 2 2 2 7 2 2" xfId="15260" xr:uid="{E3768C05-D1F5-4C36-BEAE-650602E893E8}"/>
    <cellStyle name="Normal 4 4 2 2 2 7 3" xfId="11042" xr:uid="{432042D8-A1EC-45FC-9C71-C496A19F8E1C}"/>
    <cellStyle name="Normal 4 4 2 2 2 8" xfId="4756" xr:uid="{00000000-0005-0000-0000-0000EE140000}"/>
    <cellStyle name="Normal 4 4 2 2 2 8 2" xfId="13195" xr:uid="{B252B0AD-F0FE-463E-A4FC-26C3AECBE491}"/>
    <cellStyle name="Normal 4 4 2 2 2 9" xfId="8977" xr:uid="{73B98E14-73D6-4BB6-B7AE-7D8A54B217BF}"/>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E6605833-EA11-48B4-BBC7-194ADD5DA05D}"/>
    <cellStyle name="Normal 4 4 2 2 3 2 2 3" xfId="11537" xr:uid="{7A107507-0BFE-42EC-848F-30A709DE597E}"/>
    <cellStyle name="Normal 4 4 2 2 3 2 3" xfId="5171" xr:uid="{00000000-0005-0000-0000-0000F3140000}"/>
    <cellStyle name="Normal 4 4 2 2 3 2 3 2" xfId="13610" xr:uid="{8A3B436A-8C14-44B7-B021-20A45C2B0E82}"/>
    <cellStyle name="Normal 4 4 2 2 3 2 4" xfId="9392" xr:uid="{C7F01EDA-A2EC-4115-B189-9EE2C4E6015D}"/>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83634D9E-0A26-4EF3-8B41-006F4160D853}"/>
    <cellStyle name="Normal 4 4 2 2 3 3 2 3" xfId="11950" xr:uid="{A91269F3-02AB-4E03-8F22-8706B948B5FF}"/>
    <cellStyle name="Normal 4 4 2 2 3 3 3" xfId="5584" xr:uid="{00000000-0005-0000-0000-0000F7140000}"/>
    <cellStyle name="Normal 4 4 2 2 3 3 3 2" xfId="14023" xr:uid="{8B7724D6-F56E-497C-AF0B-6413FBEF3877}"/>
    <cellStyle name="Normal 4 4 2 2 3 3 4" xfId="9805" xr:uid="{473050D8-60B7-446A-BC5C-C530A3EEA8AF}"/>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A302FCCC-5772-4824-B4D6-C34A29D4FC7D}"/>
    <cellStyle name="Normal 4 4 2 2 3 4 2 3" xfId="12363" xr:uid="{511617A2-B88A-4529-A4BB-A09DB2EEDF3E}"/>
    <cellStyle name="Normal 4 4 2 2 3 4 3" xfId="5997" xr:uid="{00000000-0005-0000-0000-0000FB140000}"/>
    <cellStyle name="Normal 4 4 2 2 3 4 3 2" xfId="14436" xr:uid="{DBABD67A-C37F-45BD-B332-006F5948230C}"/>
    <cellStyle name="Normal 4 4 2 2 3 4 4" xfId="10218" xr:uid="{9646BEEB-0FE1-4725-BEE6-5D8F5D1209A3}"/>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91555338-4010-4F65-9FD7-C2FCC2D7950A}"/>
    <cellStyle name="Normal 4 4 2 2 3 5 2 3" xfId="12776" xr:uid="{9B12E9BA-3F12-47E3-A33B-6187ABE62FBE}"/>
    <cellStyle name="Normal 4 4 2 2 3 5 3" xfId="6410" xr:uid="{00000000-0005-0000-0000-0000FF140000}"/>
    <cellStyle name="Normal 4 4 2 2 3 5 3 2" xfId="14849" xr:uid="{FED9E32B-47CE-47D4-A5A4-51E3712E7541}"/>
    <cellStyle name="Normal 4 4 2 2 3 5 4" xfId="10631" xr:uid="{8C2375DD-1135-47CF-BADA-E84F3B1F30EA}"/>
    <cellStyle name="Normal 4 4 2 2 3 6" xfId="2539" xr:uid="{00000000-0005-0000-0000-000000150000}"/>
    <cellStyle name="Normal 4 4 2 2 3 6 2" xfId="6823" xr:uid="{00000000-0005-0000-0000-000001150000}"/>
    <cellStyle name="Normal 4 4 2 2 3 6 2 2" xfId="15262" xr:uid="{AE85F2E7-EFAA-4B94-BE81-A5AB6028DDFD}"/>
    <cellStyle name="Normal 4 4 2 2 3 6 3" xfId="11044" xr:uid="{30086D19-7C34-44EA-A3D8-26AA6EE58D2F}"/>
    <cellStyle name="Normal 4 4 2 2 3 7" xfId="4758" xr:uid="{00000000-0005-0000-0000-000002150000}"/>
    <cellStyle name="Normal 4 4 2 2 3 7 2" xfId="13197" xr:uid="{3D88373D-BC22-45E5-80F0-1A4904DBCAEC}"/>
    <cellStyle name="Normal 4 4 2 2 3 8" xfId="8979" xr:uid="{BBC5396F-ABB0-456F-8887-27097AE013EE}"/>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77F3F284-0B7F-438A-A555-1DEBB61ADBAB}"/>
    <cellStyle name="Normal 4 4 2 2 4 2 3" xfId="11534" xr:uid="{F7DDED9E-39C3-4A25-9C5E-B15F8D887798}"/>
    <cellStyle name="Normal 4 4 2 2 4 3" xfId="5168" xr:uid="{00000000-0005-0000-0000-000006150000}"/>
    <cellStyle name="Normal 4 4 2 2 4 3 2" xfId="13607" xr:uid="{3C506A25-2ABB-46B1-A438-4D51F7D081E8}"/>
    <cellStyle name="Normal 4 4 2 2 4 4" xfId="9389" xr:uid="{55F40BC3-D96A-449A-B9EB-C4FBF761CE3A}"/>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D9360D97-DEC0-4F87-B875-2EE181A9F82D}"/>
    <cellStyle name="Normal 4 4 2 2 5 2 3" xfId="11947" xr:uid="{62FB6564-C1B2-44BC-B307-06A8B04A6A2B}"/>
    <cellStyle name="Normal 4 4 2 2 5 3" xfId="5581" xr:uid="{00000000-0005-0000-0000-00000A150000}"/>
    <cellStyle name="Normal 4 4 2 2 5 3 2" xfId="14020" xr:uid="{38AA1DC9-68DE-4013-A2B1-E1B6177AD332}"/>
    <cellStyle name="Normal 4 4 2 2 5 4" xfId="9802" xr:uid="{FA8834A8-F3DB-4390-B86E-36435DC63B3E}"/>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5C421A61-8775-498F-A6E2-878E10A720AF}"/>
    <cellStyle name="Normal 4 4 2 2 6 2 3" xfId="12360" xr:uid="{8B469C06-C887-4147-8B75-F4703FDD2B35}"/>
    <cellStyle name="Normal 4 4 2 2 6 3" xfId="5994" xr:uid="{00000000-0005-0000-0000-00000E150000}"/>
    <cellStyle name="Normal 4 4 2 2 6 3 2" xfId="14433" xr:uid="{971C19CF-6D0C-4005-90DE-8FFCA8DA2370}"/>
    <cellStyle name="Normal 4 4 2 2 6 4" xfId="10215" xr:uid="{FD105C5A-EC35-43CC-AE5A-352845AB538E}"/>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DBA3F58D-2657-46EF-8DB1-EA716F30829D}"/>
    <cellStyle name="Normal 4 4 2 2 7 2 3" xfId="12773" xr:uid="{52C3EC7F-785A-4196-ADC1-19A06730AB50}"/>
    <cellStyle name="Normal 4 4 2 2 7 3" xfId="6407" xr:uid="{00000000-0005-0000-0000-000012150000}"/>
    <cellStyle name="Normal 4 4 2 2 7 3 2" xfId="14846" xr:uid="{20D9995E-1CE6-458E-AE23-7A7F138AC676}"/>
    <cellStyle name="Normal 4 4 2 2 7 4" xfId="10628" xr:uid="{6188B213-80B0-4A27-8BA3-8232B48161DF}"/>
    <cellStyle name="Normal 4 4 2 2 8" xfId="2536" xr:uid="{00000000-0005-0000-0000-000013150000}"/>
    <cellStyle name="Normal 4 4 2 2 8 2" xfId="6820" xr:uid="{00000000-0005-0000-0000-000014150000}"/>
    <cellStyle name="Normal 4 4 2 2 8 2 2" xfId="15259" xr:uid="{F501B1E5-C555-4D04-AF6F-A8A725872C44}"/>
    <cellStyle name="Normal 4 4 2 2 8 3" xfId="11041" xr:uid="{051D985F-2527-4DEE-8B2D-2EB932D27FAE}"/>
    <cellStyle name="Normal 4 4 2 2 9" xfId="4755" xr:uid="{00000000-0005-0000-0000-000015150000}"/>
    <cellStyle name="Normal 4 4 2 2 9 2" xfId="13194" xr:uid="{6B1357D1-C9BE-43FE-BE27-B6BF06BAAFC9}"/>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EDC61027-3693-4AED-8668-C9F4714E2B2D}"/>
    <cellStyle name="Normal 4 4 2 3 2 2 2 3" xfId="11539" xr:uid="{EAF9DEFC-E187-42AC-96DF-AA238B2CA019}"/>
    <cellStyle name="Normal 4 4 2 3 2 2 3" xfId="5173" xr:uid="{00000000-0005-0000-0000-00001B150000}"/>
    <cellStyle name="Normal 4 4 2 3 2 2 3 2" xfId="13612" xr:uid="{832C0E68-EFCD-408B-B387-124FDD8AB398}"/>
    <cellStyle name="Normal 4 4 2 3 2 2 4" xfId="9394" xr:uid="{D7E96950-C786-469A-AC04-4A18B9B89723}"/>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541E1F83-F746-4827-85C4-E8D3112305B7}"/>
    <cellStyle name="Normal 4 4 2 3 2 3 2 3" xfId="11952" xr:uid="{077086F2-C1D3-418F-8545-383D44CCD761}"/>
    <cellStyle name="Normal 4 4 2 3 2 3 3" xfId="5586" xr:uid="{00000000-0005-0000-0000-00001F150000}"/>
    <cellStyle name="Normal 4 4 2 3 2 3 3 2" xfId="14025" xr:uid="{B4D77FAB-2AA1-4338-A6E6-18D05F0A440A}"/>
    <cellStyle name="Normal 4 4 2 3 2 3 4" xfId="9807" xr:uid="{FF654E21-3851-47C3-979B-F1F2E92F68D6}"/>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84815393-77B6-4E4F-9867-F3A61F5EC01D}"/>
    <cellStyle name="Normal 4 4 2 3 2 4 2 3" xfId="12365" xr:uid="{98289201-B8FC-4D97-8CCE-8974C48978BD}"/>
    <cellStyle name="Normal 4 4 2 3 2 4 3" xfId="5999" xr:uid="{00000000-0005-0000-0000-000023150000}"/>
    <cellStyle name="Normal 4 4 2 3 2 4 3 2" xfId="14438" xr:uid="{892B4A38-74DB-432F-AF4B-5DB29EE368F6}"/>
    <cellStyle name="Normal 4 4 2 3 2 4 4" xfId="10220" xr:uid="{1DBAE6E5-75FF-4679-BE59-1B820B90C9C1}"/>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DF4275E5-628C-42EA-B280-D5348AF10FC4}"/>
    <cellStyle name="Normal 4 4 2 3 2 5 2 3" xfId="12778" xr:uid="{65639431-D510-4E04-A363-C01E125D2B57}"/>
    <cellStyle name="Normal 4 4 2 3 2 5 3" xfId="6412" xr:uid="{00000000-0005-0000-0000-000027150000}"/>
    <cellStyle name="Normal 4 4 2 3 2 5 3 2" xfId="14851" xr:uid="{8B42436A-0289-499B-B244-BEA2C132AF6E}"/>
    <cellStyle name="Normal 4 4 2 3 2 5 4" xfId="10633" xr:uid="{4593A5C8-25E1-4692-BD4C-1367FAF10D48}"/>
    <cellStyle name="Normal 4 4 2 3 2 6" xfId="2541" xr:uid="{00000000-0005-0000-0000-000028150000}"/>
    <cellStyle name="Normal 4 4 2 3 2 6 2" xfId="6825" xr:uid="{00000000-0005-0000-0000-000029150000}"/>
    <cellStyle name="Normal 4 4 2 3 2 6 2 2" xfId="15264" xr:uid="{07B8749E-1A7F-43EF-B804-EE1065D5DC29}"/>
    <cellStyle name="Normal 4 4 2 3 2 6 3" xfId="11046" xr:uid="{151B8F70-D9EE-4AA6-BC60-DDF346B7EA99}"/>
    <cellStyle name="Normal 4 4 2 3 2 7" xfId="4760" xr:uid="{00000000-0005-0000-0000-00002A150000}"/>
    <cellStyle name="Normal 4 4 2 3 2 7 2" xfId="13199" xr:uid="{2BBD0B23-A28F-4280-91F2-F1BEBB0BBCC9}"/>
    <cellStyle name="Normal 4 4 2 3 2 8" xfId="8981" xr:uid="{F546532E-E779-47B8-B078-EB080AB0F33D}"/>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F221DBF5-8364-414B-913E-3E4A20C77E55}"/>
    <cellStyle name="Normal 4 4 2 3 3 2 3" xfId="11538" xr:uid="{5E9FE2FB-0C86-4208-B001-8779C94C5A84}"/>
    <cellStyle name="Normal 4 4 2 3 3 3" xfId="5172" xr:uid="{00000000-0005-0000-0000-00002E150000}"/>
    <cellStyle name="Normal 4 4 2 3 3 3 2" xfId="13611" xr:uid="{A21567CF-BC3E-4FCE-B57A-CAEBE897BF08}"/>
    <cellStyle name="Normal 4 4 2 3 3 4" xfId="9393" xr:uid="{5B8C11C7-C130-44FE-88A2-29E554F679A2}"/>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E0B97AC7-7E29-47CB-9C90-B06DCFBECC20}"/>
    <cellStyle name="Normal 4 4 2 3 4 2 3" xfId="11951" xr:uid="{9BBDA849-A725-4CC1-9F5D-ABA9801989E1}"/>
    <cellStyle name="Normal 4 4 2 3 4 3" xfId="5585" xr:uid="{00000000-0005-0000-0000-000032150000}"/>
    <cellStyle name="Normal 4 4 2 3 4 3 2" xfId="14024" xr:uid="{0138791D-C073-46B2-A555-2803E3A11A32}"/>
    <cellStyle name="Normal 4 4 2 3 4 4" xfId="9806" xr:uid="{51119B2F-015B-4961-8DC1-C162E8AD339D}"/>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B06F7C22-67E1-4E12-92F3-BBB46F6D8B22}"/>
    <cellStyle name="Normal 4 4 2 3 5 2 3" xfId="12364" xr:uid="{699D4F17-2D27-4DB5-8DA4-4DF45D22979A}"/>
    <cellStyle name="Normal 4 4 2 3 5 3" xfId="5998" xr:uid="{00000000-0005-0000-0000-000036150000}"/>
    <cellStyle name="Normal 4 4 2 3 5 3 2" xfId="14437" xr:uid="{49C11B3C-A650-4C66-B3E3-3D6ADF5FECEB}"/>
    <cellStyle name="Normal 4 4 2 3 5 4" xfId="10219" xr:uid="{129ED158-4475-42FD-B582-2604B5079DA5}"/>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2FC6A4B0-88EE-4184-BC91-48BF7444748B}"/>
    <cellStyle name="Normal 4 4 2 3 6 2 3" xfId="12777" xr:uid="{66CD3B79-043D-468D-A596-550570D88D43}"/>
    <cellStyle name="Normal 4 4 2 3 6 3" xfId="6411" xr:uid="{00000000-0005-0000-0000-00003A150000}"/>
    <cellStyle name="Normal 4 4 2 3 6 3 2" xfId="14850" xr:uid="{20F651FE-BFCF-4BA3-8CB1-90DF314B63D6}"/>
    <cellStyle name="Normal 4 4 2 3 6 4" xfId="10632" xr:uid="{E277F362-30DD-423F-AB2B-C38DB27F2962}"/>
    <cellStyle name="Normal 4 4 2 3 7" xfId="2540" xr:uid="{00000000-0005-0000-0000-00003B150000}"/>
    <cellStyle name="Normal 4 4 2 3 7 2" xfId="6824" xr:uid="{00000000-0005-0000-0000-00003C150000}"/>
    <cellStyle name="Normal 4 4 2 3 7 2 2" xfId="15263" xr:uid="{A764A916-A4FA-4CEF-B748-974BE3DC5116}"/>
    <cellStyle name="Normal 4 4 2 3 7 3" xfId="11045" xr:uid="{C2049569-B4E6-40FC-9B36-649AC1D63493}"/>
    <cellStyle name="Normal 4 4 2 3 8" xfId="4759" xr:uid="{00000000-0005-0000-0000-00003D150000}"/>
    <cellStyle name="Normal 4 4 2 3 8 2" xfId="13198" xr:uid="{A93F8073-A7C7-4189-9A1D-F64EF4B57618}"/>
    <cellStyle name="Normal 4 4 2 3 9" xfId="8980" xr:uid="{CEE2B128-1E34-4304-ACC5-397E4165145B}"/>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31DD0491-9FDE-46E6-A7B3-AA27BD5AA978}"/>
    <cellStyle name="Normal 4 4 2 4 2 2 3" xfId="11540" xr:uid="{1146B2DC-D3C6-4C70-AC33-1AA50472318D}"/>
    <cellStyle name="Normal 4 4 2 4 2 3" xfId="5174" xr:uid="{00000000-0005-0000-0000-000042150000}"/>
    <cellStyle name="Normal 4 4 2 4 2 3 2" xfId="13613" xr:uid="{8E8B222E-BF68-4676-9369-EFEB69B9DB78}"/>
    <cellStyle name="Normal 4 4 2 4 2 4" xfId="9395" xr:uid="{2169D573-7C06-4BE0-A67C-A66319BB5820}"/>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32988973-3CA4-412C-B8D7-404111621915}"/>
    <cellStyle name="Normal 4 4 2 4 3 2 3" xfId="11953" xr:uid="{D281F943-CE2D-46AE-A1EB-FAD21A8510B5}"/>
    <cellStyle name="Normal 4 4 2 4 3 3" xfId="5587" xr:uid="{00000000-0005-0000-0000-000046150000}"/>
    <cellStyle name="Normal 4 4 2 4 3 3 2" xfId="14026" xr:uid="{EAC6AE5E-15A0-47ED-86F2-9D4ECA7F73AE}"/>
    <cellStyle name="Normal 4 4 2 4 3 4" xfId="9808" xr:uid="{54376B0E-05D4-4AA1-9D57-7CAE61DA238B}"/>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8D1AE603-18DA-4428-A70B-81293CAED797}"/>
    <cellStyle name="Normal 4 4 2 4 4 2 3" xfId="12366" xr:uid="{FAD907A9-F7B0-4BF0-8A62-ABAB449CBE0B}"/>
    <cellStyle name="Normal 4 4 2 4 4 3" xfId="6000" xr:uid="{00000000-0005-0000-0000-00004A150000}"/>
    <cellStyle name="Normal 4 4 2 4 4 3 2" xfId="14439" xr:uid="{DD91D34A-F0F3-448F-BE63-592103A84CC6}"/>
    <cellStyle name="Normal 4 4 2 4 4 4" xfId="10221" xr:uid="{1EE3EDFC-B03A-45EE-827C-4554B4447793}"/>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4F83BF29-3315-40E6-A37E-0878FCAF30B6}"/>
    <cellStyle name="Normal 4 4 2 4 5 2 3" xfId="12779" xr:uid="{AC4F96A1-A251-4847-8833-0F759B7B0034}"/>
    <cellStyle name="Normal 4 4 2 4 5 3" xfId="6413" xr:uid="{00000000-0005-0000-0000-00004E150000}"/>
    <cellStyle name="Normal 4 4 2 4 5 3 2" xfId="14852" xr:uid="{69A2CACD-A2C0-430B-8F87-3C7DC8F3712D}"/>
    <cellStyle name="Normal 4 4 2 4 5 4" xfId="10634" xr:uid="{49AD0196-7614-44CF-BF01-F497A9815891}"/>
    <cellStyle name="Normal 4 4 2 4 6" xfId="2542" xr:uid="{00000000-0005-0000-0000-00004F150000}"/>
    <cellStyle name="Normal 4 4 2 4 6 2" xfId="6826" xr:uid="{00000000-0005-0000-0000-000050150000}"/>
    <cellStyle name="Normal 4 4 2 4 6 2 2" xfId="15265" xr:uid="{31D32785-E959-45FA-8840-A410F9E413D7}"/>
    <cellStyle name="Normal 4 4 2 4 6 3" xfId="11047" xr:uid="{9DF2BA77-2C43-4136-978F-6A51327B82B8}"/>
    <cellStyle name="Normal 4 4 2 4 7" xfId="4761" xr:uid="{00000000-0005-0000-0000-000051150000}"/>
    <cellStyle name="Normal 4 4 2 4 7 2" xfId="13200" xr:uid="{15A2DA69-E356-449A-8B88-F8E2883D7B47}"/>
    <cellStyle name="Normal 4 4 2 4 8" xfId="8982" xr:uid="{1703F6D1-BBFE-463F-B4C5-C97868F6BC4D}"/>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B8D5BBA2-D1A9-4928-A598-BBDDB48802CF}"/>
    <cellStyle name="Normal 4 4 2 5 2 3" xfId="11533" xr:uid="{8D5EBED9-9E28-4FB3-9799-A6C89DA04DFF}"/>
    <cellStyle name="Normal 4 4 2 5 3" xfId="5167" xr:uid="{00000000-0005-0000-0000-000055150000}"/>
    <cellStyle name="Normal 4 4 2 5 3 2" xfId="13606" xr:uid="{F4C0C32E-2B92-40C0-B1CB-011A89A96DB5}"/>
    <cellStyle name="Normal 4 4 2 5 4" xfId="9388" xr:uid="{5939C009-93DB-4641-B63D-4E8CDB17B68A}"/>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031CF896-FE5D-42A7-89AA-D2E7D7925E3E}"/>
    <cellStyle name="Normal 4 4 2 6 2 3" xfId="11946" xr:uid="{2BB18CFE-B36A-4674-95E0-FF0B93BA8B14}"/>
    <cellStyle name="Normal 4 4 2 6 3" xfId="5580" xr:uid="{00000000-0005-0000-0000-000059150000}"/>
    <cellStyle name="Normal 4 4 2 6 3 2" xfId="14019" xr:uid="{D03C1454-949A-4992-A60C-4078FD0FEB96}"/>
    <cellStyle name="Normal 4 4 2 6 4" xfId="9801" xr:uid="{EF3D1B85-E3CA-4D92-86B3-DE577AECDF23}"/>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EF782CEF-A019-43E2-9EF3-28C234C99BAA}"/>
    <cellStyle name="Normal 4 4 2 7 2 3" xfId="12359" xr:uid="{0325D8C0-8092-4BF1-B860-1630BC3167C7}"/>
    <cellStyle name="Normal 4 4 2 7 3" xfId="5993" xr:uid="{00000000-0005-0000-0000-00005D150000}"/>
    <cellStyle name="Normal 4 4 2 7 3 2" xfId="14432" xr:uid="{548A9465-B9C8-4E02-9135-AFBE04222488}"/>
    <cellStyle name="Normal 4 4 2 7 4" xfId="10214" xr:uid="{19629A5C-7AD8-4C08-AFEA-3667BB647F2A}"/>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8518D3C5-478C-4AD7-AA06-E7D49B2E44D4}"/>
    <cellStyle name="Normal 4 4 2 8 2 3" xfId="12772" xr:uid="{7C519378-AAE6-4C1A-AF62-B851049DA80A}"/>
    <cellStyle name="Normal 4 4 2 8 3" xfId="6406" xr:uid="{00000000-0005-0000-0000-000061150000}"/>
    <cellStyle name="Normal 4 4 2 8 3 2" xfId="14845" xr:uid="{A227BFB4-E0E1-4DDA-9663-ABC3B49D26EE}"/>
    <cellStyle name="Normal 4 4 2 8 4" xfId="10627" xr:uid="{73FDCC8C-D34E-48E5-B37F-03D81058072C}"/>
    <cellStyle name="Normal 4 4 2 9" xfId="2535" xr:uid="{00000000-0005-0000-0000-000062150000}"/>
    <cellStyle name="Normal 4 4 2 9 2" xfId="6819" xr:uid="{00000000-0005-0000-0000-000063150000}"/>
    <cellStyle name="Normal 4 4 2 9 2 2" xfId="15258" xr:uid="{A3AB9F6C-C282-480B-863B-F1D7B139E871}"/>
    <cellStyle name="Normal 4 4 2 9 3" xfId="11040" xr:uid="{5DA6E7F9-D3AA-4F87-A2B9-202C75879BDD}"/>
    <cellStyle name="Normal 4 4 3" xfId="387" xr:uid="{00000000-0005-0000-0000-000064150000}"/>
    <cellStyle name="Normal 4 4 3 10" xfId="8983" xr:uid="{9FC0742E-BD11-4EF8-BCA5-31A08D046148}"/>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83B5FA24-9207-4C15-9895-F58940F7AC81}"/>
    <cellStyle name="Normal 4 4 3 2 2 2 2 3" xfId="11543" xr:uid="{78A6265B-0FE6-4382-B3C4-3350A1BC0E31}"/>
    <cellStyle name="Normal 4 4 3 2 2 2 3" xfId="5177" xr:uid="{00000000-0005-0000-0000-00006A150000}"/>
    <cellStyle name="Normal 4 4 3 2 2 2 3 2" xfId="13616" xr:uid="{4819DA41-6FF1-45AA-A1ED-D8B7A84E8ECF}"/>
    <cellStyle name="Normal 4 4 3 2 2 2 4" xfId="9398" xr:uid="{0854C5FD-E6E7-4892-AF39-543E3034F609}"/>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32E127F2-C712-4CEE-89A4-883C014A1F70}"/>
    <cellStyle name="Normal 4 4 3 2 2 3 2 3" xfId="11956" xr:uid="{34881F7B-0E09-4549-903D-74DE5B3596A6}"/>
    <cellStyle name="Normal 4 4 3 2 2 3 3" xfId="5590" xr:uid="{00000000-0005-0000-0000-00006E150000}"/>
    <cellStyle name="Normal 4 4 3 2 2 3 3 2" xfId="14029" xr:uid="{76B7AC67-2359-41D2-A2D7-80B763430B35}"/>
    <cellStyle name="Normal 4 4 3 2 2 3 4" xfId="9811" xr:uid="{CB4CC1B9-529D-4D1F-84DF-D848E5B1B59C}"/>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82C394CF-1513-419A-8E8F-99D71F7E2570}"/>
    <cellStyle name="Normal 4 4 3 2 2 4 2 3" xfId="12369" xr:uid="{3406D3C8-7B92-4FA9-AE7A-391142A03601}"/>
    <cellStyle name="Normal 4 4 3 2 2 4 3" xfId="6003" xr:uid="{00000000-0005-0000-0000-000072150000}"/>
    <cellStyle name="Normal 4 4 3 2 2 4 3 2" xfId="14442" xr:uid="{EED14A2C-67A2-40F0-908A-B4D4FDBF31F5}"/>
    <cellStyle name="Normal 4 4 3 2 2 4 4" xfId="10224" xr:uid="{1145743B-2791-4AF6-8AF5-C6EA64089FA2}"/>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86E8726F-1EC9-4D7C-978E-0A11FBB6EB7C}"/>
    <cellStyle name="Normal 4 4 3 2 2 5 2 3" xfId="12782" xr:uid="{C27C34E7-863C-4D71-B876-CAA9DCA5AC05}"/>
    <cellStyle name="Normal 4 4 3 2 2 5 3" xfId="6416" xr:uid="{00000000-0005-0000-0000-000076150000}"/>
    <cellStyle name="Normal 4 4 3 2 2 5 3 2" xfId="14855" xr:uid="{50E7F778-E016-4C92-AE5A-9D5355CD4AD8}"/>
    <cellStyle name="Normal 4 4 3 2 2 5 4" xfId="10637" xr:uid="{66E213FA-7F2A-40C6-B07B-FFF6D83D5430}"/>
    <cellStyle name="Normal 4 4 3 2 2 6" xfId="2545" xr:uid="{00000000-0005-0000-0000-000077150000}"/>
    <cellStyle name="Normal 4 4 3 2 2 6 2" xfId="6829" xr:uid="{00000000-0005-0000-0000-000078150000}"/>
    <cellStyle name="Normal 4 4 3 2 2 6 2 2" xfId="15268" xr:uid="{3394A0CF-5E14-44F2-AA5F-8B254A8C502C}"/>
    <cellStyle name="Normal 4 4 3 2 2 6 3" xfId="11050" xr:uid="{CD499DF7-DC9F-48AA-9F6C-6A0331C0B33C}"/>
    <cellStyle name="Normal 4 4 3 2 2 7" xfId="4764" xr:uid="{00000000-0005-0000-0000-000079150000}"/>
    <cellStyle name="Normal 4 4 3 2 2 7 2" xfId="13203" xr:uid="{2E45A161-8FAD-41A1-94D6-B7EEA8674C7B}"/>
    <cellStyle name="Normal 4 4 3 2 2 8" xfId="8985" xr:uid="{2B1269E2-EBE6-4203-AFF3-1026430578DB}"/>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512BB3CD-C71F-4660-A7D7-1A778430F20B}"/>
    <cellStyle name="Normal 4 4 3 2 3 2 3" xfId="11542" xr:uid="{0BF6DF43-C278-49E6-B50F-0BBBE59EDD8F}"/>
    <cellStyle name="Normal 4 4 3 2 3 3" xfId="5176" xr:uid="{00000000-0005-0000-0000-00007D150000}"/>
    <cellStyle name="Normal 4 4 3 2 3 3 2" xfId="13615" xr:uid="{46DFE3E9-C602-4D0C-BAD7-D62EE24619D6}"/>
    <cellStyle name="Normal 4 4 3 2 3 4" xfId="9397" xr:uid="{DEFC7FF2-BC8A-4509-8F12-03D7B385F3F8}"/>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0115F029-98B6-4C3D-AA4A-F4C69DFE9EA9}"/>
    <cellStyle name="Normal 4 4 3 2 4 2 3" xfId="11955" xr:uid="{9FDFFBCA-7B54-4D88-A2FE-B708BD41408B}"/>
    <cellStyle name="Normal 4 4 3 2 4 3" xfId="5589" xr:uid="{00000000-0005-0000-0000-000081150000}"/>
    <cellStyle name="Normal 4 4 3 2 4 3 2" xfId="14028" xr:uid="{95D1ACBD-4FCC-444B-ACBD-4B237E0DA2ED}"/>
    <cellStyle name="Normal 4 4 3 2 4 4" xfId="9810" xr:uid="{809CD6CA-02F3-4E58-92BD-437D6580771E}"/>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4A9686A5-2287-49F3-8217-660A54F8FB99}"/>
    <cellStyle name="Normal 4 4 3 2 5 2 3" xfId="12368" xr:uid="{F65642E6-5E08-4DF4-83AF-CF51765D2E63}"/>
    <cellStyle name="Normal 4 4 3 2 5 3" xfId="6002" xr:uid="{00000000-0005-0000-0000-000085150000}"/>
    <cellStyle name="Normal 4 4 3 2 5 3 2" xfId="14441" xr:uid="{A621D752-FD2E-40BE-8C56-CBE622B8AE74}"/>
    <cellStyle name="Normal 4 4 3 2 5 4" xfId="10223" xr:uid="{5169D8F8-5B6B-4FF0-B2FA-3AFCE9F472AD}"/>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C11A124E-0996-4FBC-B996-6F6C588CCACC}"/>
    <cellStyle name="Normal 4 4 3 2 6 2 3" xfId="12781" xr:uid="{AF6F9A11-0BE0-4685-9D2A-B5465D97EFAC}"/>
    <cellStyle name="Normal 4 4 3 2 6 3" xfId="6415" xr:uid="{00000000-0005-0000-0000-000089150000}"/>
    <cellStyle name="Normal 4 4 3 2 6 3 2" xfId="14854" xr:uid="{D1C91D6C-3D66-4F62-B725-C2A4B1260CC9}"/>
    <cellStyle name="Normal 4 4 3 2 6 4" xfId="10636" xr:uid="{C77D6CB6-A1F0-4364-9B19-57EEB6E43E75}"/>
    <cellStyle name="Normal 4 4 3 2 7" xfId="2544" xr:uid="{00000000-0005-0000-0000-00008A150000}"/>
    <cellStyle name="Normal 4 4 3 2 7 2" xfId="6828" xr:uid="{00000000-0005-0000-0000-00008B150000}"/>
    <cellStyle name="Normal 4 4 3 2 7 2 2" xfId="15267" xr:uid="{4AAB76E4-D64A-4371-BC1D-5D07030C6545}"/>
    <cellStyle name="Normal 4 4 3 2 7 3" xfId="11049" xr:uid="{9DE909CA-3612-4C2A-B620-ACAB77328786}"/>
    <cellStyle name="Normal 4 4 3 2 8" xfId="4763" xr:uid="{00000000-0005-0000-0000-00008C150000}"/>
    <cellStyle name="Normal 4 4 3 2 8 2" xfId="13202" xr:uid="{339B5A8D-DC2B-41D0-B228-4710C7A53B6E}"/>
    <cellStyle name="Normal 4 4 3 2 9" xfId="8984" xr:uid="{C85976EC-3C9C-47D3-854B-E5CB2B347133}"/>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B805CE22-D647-480E-8E9F-9C4F59E8557A}"/>
    <cellStyle name="Normal 4 4 3 3 2 2 3" xfId="11544" xr:uid="{4605E389-2182-4EB6-A1BE-BDDB732205E6}"/>
    <cellStyle name="Normal 4 4 3 3 2 3" xfId="5178" xr:uid="{00000000-0005-0000-0000-000091150000}"/>
    <cellStyle name="Normal 4 4 3 3 2 3 2" xfId="13617" xr:uid="{4230F110-9CA1-47AE-96DC-167059B05495}"/>
    <cellStyle name="Normal 4 4 3 3 2 4" xfId="9399" xr:uid="{90D1539E-7A9B-4432-BE65-E38CF813846C}"/>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6A97FABE-C2FB-4E03-821A-636155059616}"/>
    <cellStyle name="Normal 4 4 3 3 3 2 3" xfId="11957" xr:uid="{4D0C864C-3C85-4076-BC2B-E630FC436FB1}"/>
    <cellStyle name="Normal 4 4 3 3 3 3" xfId="5591" xr:uid="{00000000-0005-0000-0000-000095150000}"/>
    <cellStyle name="Normal 4 4 3 3 3 3 2" xfId="14030" xr:uid="{AD3DC4CC-42A7-4D7A-85C9-BD1F7F78A567}"/>
    <cellStyle name="Normal 4 4 3 3 3 4" xfId="9812" xr:uid="{28FD5A43-DFC0-49A1-AC98-7AB9ED684556}"/>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8796E328-DC73-47EB-92EF-0D220CA0CC94}"/>
    <cellStyle name="Normal 4 4 3 3 4 2 3" xfId="12370" xr:uid="{066B28E6-5F09-4971-9D11-E5C6D0380212}"/>
    <cellStyle name="Normal 4 4 3 3 4 3" xfId="6004" xr:uid="{00000000-0005-0000-0000-000099150000}"/>
    <cellStyle name="Normal 4 4 3 3 4 3 2" xfId="14443" xr:uid="{1CEC706A-FB62-44E0-9B3F-DBAB989B9D4C}"/>
    <cellStyle name="Normal 4 4 3 3 4 4" xfId="10225" xr:uid="{DB46E310-4566-479E-A297-7A8B75E97542}"/>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7FCA7035-BA82-4118-920E-BFFC54BFAAAD}"/>
    <cellStyle name="Normal 4 4 3 3 5 2 3" xfId="12783" xr:uid="{7E418ECB-6F0F-4786-A077-06F75D3E92A0}"/>
    <cellStyle name="Normal 4 4 3 3 5 3" xfId="6417" xr:uid="{00000000-0005-0000-0000-00009D150000}"/>
    <cellStyle name="Normal 4 4 3 3 5 3 2" xfId="14856" xr:uid="{801E669C-C233-4C18-90D7-72797ECA76A7}"/>
    <cellStyle name="Normal 4 4 3 3 5 4" xfId="10638" xr:uid="{D93A2BB4-22D6-41EE-8DB8-5453233EEB56}"/>
    <cellStyle name="Normal 4 4 3 3 6" xfId="2546" xr:uid="{00000000-0005-0000-0000-00009E150000}"/>
    <cellStyle name="Normal 4 4 3 3 6 2" xfId="6830" xr:uid="{00000000-0005-0000-0000-00009F150000}"/>
    <cellStyle name="Normal 4 4 3 3 6 2 2" xfId="15269" xr:uid="{A51E83DC-AE8E-44FD-B5F1-16408BDC1AD4}"/>
    <cellStyle name="Normal 4 4 3 3 6 3" xfId="11051" xr:uid="{181E9661-DF3A-4F36-AC40-567A9C175630}"/>
    <cellStyle name="Normal 4 4 3 3 7" xfId="4765" xr:uid="{00000000-0005-0000-0000-0000A0150000}"/>
    <cellStyle name="Normal 4 4 3 3 7 2" xfId="13204" xr:uid="{0E3B687E-1BAA-4AF4-8D36-948580F767F1}"/>
    <cellStyle name="Normal 4 4 3 3 8" xfId="8986" xr:uid="{C161A541-F13A-4543-A19A-A5A1DAAA0984}"/>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571AEBC6-AA0F-466F-AF1A-53A9FBE9BEF4}"/>
    <cellStyle name="Normal 4 4 3 4 2 3" xfId="11541" xr:uid="{B4EF55F9-C1DA-4C3C-A264-7234F58A0F01}"/>
    <cellStyle name="Normal 4 4 3 4 3" xfId="5175" xr:uid="{00000000-0005-0000-0000-0000A4150000}"/>
    <cellStyle name="Normal 4 4 3 4 3 2" xfId="13614" xr:uid="{DB470DFC-9B08-4364-862D-7ABD8104E46E}"/>
    <cellStyle name="Normal 4 4 3 4 4" xfId="9396" xr:uid="{E31BC348-68B8-48A1-A28D-54914C47C104}"/>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D5DD694A-CFBF-4860-8F7B-1AAAC87D98D3}"/>
    <cellStyle name="Normal 4 4 3 5 2 3" xfId="11954" xr:uid="{4EE553E1-D8AA-4AAD-8C91-3A961C836798}"/>
    <cellStyle name="Normal 4 4 3 5 3" xfId="5588" xr:uid="{00000000-0005-0000-0000-0000A8150000}"/>
    <cellStyle name="Normal 4 4 3 5 3 2" xfId="14027" xr:uid="{C855703C-3A02-4EC5-BDA9-AE78FA5920AD}"/>
    <cellStyle name="Normal 4 4 3 5 4" xfId="9809" xr:uid="{143B2C53-C26B-4FDD-8678-EDB8BDA6C910}"/>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82F25AC9-2E7F-4704-A181-2EF480EC0F5F}"/>
    <cellStyle name="Normal 4 4 3 6 2 3" xfId="12367" xr:uid="{24285314-2F81-4F25-8B8C-4BC0658D1635}"/>
    <cellStyle name="Normal 4 4 3 6 3" xfId="6001" xr:uid="{00000000-0005-0000-0000-0000AC150000}"/>
    <cellStyle name="Normal 4 4 3 6 3 2" xfId="14440" xr:uid="{7DE9D54D-677A-4021-9B06-E57B6103EBE0}"/>
    <cellStyle name="Normal 4 4 3 6 4" xfId="10222" xr:uid="{7D3D8951-8034-45FC-99A9-EE000DEC7EF1}"/>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D52F5EE4-E757-4173-9550-8EB24D6FAA7E}"/>
    <cellStyle name="Normal 4 4 3 7 2 3" xfId="12780" xr:uid="{CF008033-0C20-43DF-91DF-E05F0173400E}"/>
    <cellStyle name="Normal 4 4 3 7 3" xfId="6414" xr:uid="{00000000-0005-0000-0000-0000B0150000}"/>
    <cellStyle name="Normal 4 4 3 7 3 2" xfId="14853" xr:uid="{39AF03A0-58E6-431C-8612-C24C1527B813}"/>
    <cellStyle name="Normal 4 4 3 7 4" xfId="10635" xr:uid="{D8AD0201-C2B1-4D90-9295-681BCC69452E}"/>
    <cellStyle name="Normal 4 4 3 8" xfId="2543" xr:uid="{00000000-0005-0000-0000-0000B1150000}"/>
    <cellStyle name="Normal 4 4 3 8 2" xfId="6827" xr:uid="{00000000-0005-0000-0000-0000B2150000}"/>
    <cellStyle name="Normal 4 4 3 8 2 2" xfId="15266" xr:uid="{0173B912-76C5-4898-82BD-E12FAFB25681}"/>
    <cellStyle name="Normal 4 4 3 8 3" xfId="11048" xr:uid="{99BCD2DD-B41A-49BC-9A98-AB72984B735E}"/>
    <cellStyle name="Normal 4 4 3 9" xfId="4762" xr:uid="{00000000-0005-0000-0000-0000B3150000}"/>
    <cellStyle name="Normal 4 4 3 9 2" xfId="13201" xr:uid="{6F362036-0249-4B05-8CD7-94CF8BC17762}"/>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0267DEED-709F-4ABF-8E25-D947D34AD5F2}"/>
    <cellStyle name="Normal 4 4 4 2 2 2 3" xfId="11546" xr:uid="{C7FA4119-2CF2-4E72-801E-F5AD17F79EDD}"/>
    <cellStyle name="Normal 4 4 4 2 2 3" xfId="5180" xr:uid="{00000000-0005-0000-0000-0000B9150000}"/>
    <cellStyle name="Normal 4 4 4 2 2 3 2" xfId="13619" xr:uid="{964DB798-88C3-409E-9C34-AFA53D773C59}"/>
    <cellStyle name="Normal 4 4 4 2 2 4" xfId="9401" xr:uid="{CDDB30CC-F2C4-42C6-95D1-35ED6D492D4B}"/>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6ACAC998-4B88-4D14-B9DE-2C88AC623050}"/>
    <cellStyle name="Normal 4 4 4 2 3 2 3" xfId="11959" xr:uid="{994E8518-3F78-497A-98C3-936F4520F255}"/>
    <cellStyle name="Normal 4 4 4 2 3 3" xfId="5593" xr:uid="{00000000-0005-0000-0000-0000BD150000}"/>
    <cellStyle name="Normal 4 4 4 2 3 3 2" xfId="14032" xr:uid="{06B2E85F-7345-4B33-B4A6-61B980B82BE3}"/>
    <cellStyle name="Normal 4 4 4 2 3 4" xfId="9814" xr:uid="{129CE0B5-BBD3-46FF-86AC-AFC2191925EF}"/>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407CC272-8802-4B13-A38D-42CDACDFB4CC}"/>
    <cellStyle name="Normal 4 4 4 2 4 2 3" xfId="12372" xr:uid="{D8D7F715-BC76-4EF9-8B51-6678778179DE}"/>
    <cellStyle name="Normal 4 4 4 2 4 3" xfId="6006" xr:uid="{00000000-0005-0000-0000-0000C1150000}"/>
    <cellStyle name="Normal 4 4 4 2 4 3 2" xfId="14445" xr:uid="{5DAC4044-0FD1-49AC-8F56-116525E11FBD}"/>
    <cellStyle name="Normal 4 4 4 2 4 4" xfId="10227" xr:uid="{DFAEF0FB-0D20-41B1-B07E-981E28CA129F}"/>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904FC396-D938-4271-8518-25A256DAD3A0}"/>
    <cellStyle name="Normal 4 4 4 2 5 2 3" xfId="12785" xr:uid="{954C560D-1EB0-4F9A-BF8A-A2942F785532}"/>
    <cellStyle name="Normal 4 4 4 2 5 3" xfId="6419" xr:uid="{00000000-0005-0000-0000-0000C5150000}"/>
    <cellStyle name="Normal 4 4 4 2 5 3 2" xfId="14858" xr:uid="{1FFC1227-3795-4284-9914-9481B867065E}"/>
    <cellStyle name="Normal 4 4 4 2 5 4" xfId="10640" xr:uid="{7FAB0E54-E12A-4FAF-86F3-65B7A46AD815}"/>
    <cellStyle name="Normal 4 4 4 2 6" xfId="2548" xr:uid="{00000000-0005-0000-0000-0000C6150000}"/>
    <cellStyle name="Normal 4 4 4 2 6 2" xfId="6832" xr:uid="{00000000-0005-0000-0000-0000C7150000}"/>
    <cellStyle name="Normal 4 4 4 2 6 2 2" xfId="15271" xr:uid="{A55435B1-D543-43BA-815D-B7D299B920A6}"/>
    <cellStyle name="Normal 4 4 4 2 6 3" xfId="11053" xr:uid="{67869FAC-4C57-428D-A117-DDEFA19911C6}"/>
    <cellStyle name="Normal 4 4 4 2 7" xfId="4767" xr:uid="{00000000-0005-0000-0000-0000C8150000}"/>
    <cellStyle name="Normal 4 4 4 2 7 2" xfId="13206" xr:uid="{2A49A08F-6953-4DC0-BB50-2D3397F83115}"/>
    <cellStyle name="Normal 4 4 4 2 8" xfId="8988" xr:uid="{3EF25A99-D2F6-4220-9D9B-226645EEC1E1}"/>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235CA59A-F15E-4B9F-919C-2C9D42F63BE3}"/>
    <cellStyle name="Normal 4 4 4 3 2 3" xfId="11545" xr:uid="{E4BA18FF-E5FF-433D-BF64-F9AB8D32C0CF}"/>
    <cellStyle name="Normal 4 4 4 3 3" xfId="5179" xr:uid="{00000000-0005-0000-0000-0000CC150000}"/>
    <cellStyle name="Normal 4 4 4 3 3 2" xfId="13618" xr:uid="{B7C7A6C1-B3D4-44A8-A7F6-505CCA81E034}"/>
    <cellStyle name="Normal 4 4 4 3 4" xfId="9400" xr:uid="{868D87C6-B924-4E89-B6A5-0B6B2892C90F}"/>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A862FB2D-4E76-4588-BF31-F34D188E0363}"/>
    <cellStyle name="Normal 4 4 4 4 2 3" xfId="11958" xr:uid="{2E962BF7-47ED-4527-8D45-ED0A2BB15EE0}"/>
    <cellStyle name="Normal 4 4 4 4 3" xfId="5592" xr:uid="{00000000-0005-0000-0000-0000D0150000}"/>
    <cellStyle name="Normal 4 4 4 4 3 2" xfId="14031" xr:uid="{7A7A1ABC-8146-4DFB-B2C7-255821BFFF7B}"/>
    <cellStyle name="Normal 4 4 4 4 4" xfId="9813" xr:uid="{FAAE2CEF-08EF-4128-A244-D846886B6992}"/>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3D8AA304-C4E4-4979-B029-6588FC604BDF}"/>
    <cellStyle name="Normal 4 4 4 5 2 3" xfId="12371" xr:uid="{A342C61A-4695-4ED3-BE73-029E6137AE32}"/>
    <cellStyle name="Normal 4 4 4 5 3" xfId="6005" xr:uid="{00000000-0005-0000-0000-0000D4150000}"/>
    <cellStyle name="Normal 4 4 4 5 3 2" xfId="14444" xr:uid="{D56074A3-ED9F-4BF9-BFD3-B5A282B1823F}"/>
    <cellStyle name="Normal 4 4 4 5 4" xfId="10226" xr:uid="{07648BF0-3699-4916-BC5E-6844F410DB86}"/>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10B75BEE-6E32-4F63-BCBB-3479A59F555F}"/>
    <cellStyle name="Normal 4 4 4 6 2 3" xfId="12784" xr:uid="{25EAE619-E265-4F19-B6FA-80F8DF65473F}"/>
    <cellStyle name="Normal 4 4 4 6 3" xfId="6418" xr:uid="{00000000-0005-0000-0000-0000D8150000}"/>
    <cellStyle name="Normal 4 4 4 6 3 2" xfId="14857" xr:uid="{8DA8AC1F-A310-4EDD-B074-F07253A5ED1D}"/>
    <cellStyle name="Normal 4 4 4 6 4" xfId="10639" xr:uid="{28BE0C98-BE58-4DD5-9C09-28845F5ACDFC}"/>
    <cellStyle name="Normal 4 4 4 7" xfId="2547" xr:uid="{00000000-0005-0000-0000-0000D9150000}"/>
    <cellStyle name="Normal 4 4 4 7 2" xfId="6831" xr:uid="{00000000-0005-0000-0000-0000DA150000}"/>
    <cellStyle name="Normal 4 4 4 7 2 2" xfId="15270" xr:uid="{1045180B-A24E-49F9-BF2D-C92FAC6E9529}"/>
    <cellStyle name="Normal 4 4 4 7 3" xfId="11052" xr:uid="{24FFF701-7A87-4447-9B91-4A593685D251}"/>
    <cellStyle name="Normal 4 4 4 8" xfId="4766" xr:uid="{00000000-0005-0000-0000-0000DB150000}"/>
    <cellStyle name="Normal 4 4 4 8 2" xfId="13205" xr:uid="{9BDD444D-82A0-499D-8635-EA48E7F1261D}"/>
    <cellStyle name="Normal 4 4 4 9" xfId="8987" xr:uid="{E7B85701-65DA-4FC6-8EC7-9BDAE63FBC17}"/>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F09A0144-C16E-4AA6-A9CC-C0FAFBACA123}"/>
    <cellStyle name="Normal 4 4 5 2 2 3" xfId="11547" xr:uid="{D9BD1CC7-13B6-45BF-A928-8D509147C209}"/>
    <cellStyle name="Normal 4 4 5 2 3" xfId="5181" xr:uid="{00000000-0005-0000-0000-0000E0150000}"/>
    <cellStyle name="Normal 4 4 5 2 3 2" xfId="13620" xr:uid="{2E09F00E-F9F7-4EC0-A9E9-5496D4FF39DD}"/>
    <cellStyle name="Normal 4 4 5 2 4" xfId="9402" xr:uid="{30F048B8-2199-40B1-BA27-361283473326}"/>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F034F3B3-2277-419B-891B-5D0D5E3651BE}"/>
    <cellStyle name="Normal 4 4 5 3 2 3" xfId="11960" xr:uid="{FEB4C90E-5D67-4508-B67B-81656DB0E9F3}"/>
    <cellStyle name="Normal 4 4 5 3 3" xfId="5594" xr:uid="{00000000-0005-0000-0000-0000E4150000}"/>
    <cellStyle name="Normal 4 4 5 3 3 2" xfId="14033" xr:uid="{65ADFD26-038E-4505-BF8B-86EDFBCD9E63}"/>
    <cellStyle name="Normal 4 4 5 3 4" xfId="9815" xr:uid="{9BED95B4-B709-4EC1-810F-3820F40012BA}"/>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00F1404F-CD80-4F61-A6D1-FD84C067C532}"/>
    <cellStyle name="Normal 4 4 5 4 2 3" xfId="12373" xr:uid="{DED81F93-199C-41DD-B78D-0059C8E9817A}"/>
    <cellStyle name="Normal 4 4 5 4 3" xfId="6007" xr:uid="{00000000-0005-0000-0000-0000E8150000}"/>
    <cellStyle name="Normal 4 4 5 4 3 2" xfId="14446" xr:uid="{00353F62-D0B3-4D60-B322-724CC5A88EBB}"/>
    <cellStyle name="Normal 4 4 5 4 4" xfId="10228" xr:uid="{990E22BF-342A-45D8-9CCC-930F0649A716}"/>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6FC91F6F-D935-4567-B26D-8874023E1F9A}"/>
    <cellStyle name="Normal 4 4 5 5 2 3" xfId="12786" xr:uid="{B60D6B21-990C-40DC-9A41-AF1736538677}"/>
    <cellStyle name="Normal 4 4 5 5 3" xfId="6420" xr:uid="{00000000-0005-0000-0000-0000EC150000}"/>
    <cellStyle name="Normal 4 4 5 5 3 2" xfId="14859" xr:uid="{BCB59E8F-0A37-4A7F-8A3E-AA9E82C617C1}"/>
    <cellStyle name="Normal 4 4 5 5 4" xfId="10641" xr:uid="{A63CF0F0-1FD3-4722-8301-E6032B4D51AE}"/>
    <cellStyle name="Normal 4 4 5 6" xfId="2549" xr:uid="{00000000-0005-0000-0000-0000ED150000}"/>
    <cellStyle name="Normal 4 4 5 6 2" xfId="6833" xr:uid="{00000000-0005-0000-0000-0000EE150000}"/>
    <cellStyle name="Normal 4 4 5 6 2 2" xfId="15272" xr:uid="{8953345F-78A8-4E45-9A4A-F10E08DC74A2}"/>
    <cellStyle name="Normal 4 4 5 6 3" xfId="11054" xr:uid="{E51437C3-2265-44E8-B854-1ECBD606E818}"/>
    <cellStyle name="Normal 4 4 5 7" xfId="4768" xr:uid="{00000000-0005-0000-0000-0000EF150000}"/>
    <cellStyle name="Normal 4 4 5 7 2" xfId="13207" xr:uid="{7B404C35-1287-4B4D-A95F-19B1DE3CCC92}"/>
    <cellStyle name="Normal 4 4 5 8" xfId="8989" xr:uid="{F9227A31-4B1E-4110-B1D6-3975D98B06FB}"/>
    <cellStyle name="Normal 4 4 6" xfId="853" xr:uid="{00000000-0005-0000-0000-0000F0150000}"/>
    <cellStyle name="Normal 4 4 6 2" xfId="3088" xr:uid="{00000000-0005-0000-0000-0000F1150000}"/>
    <cellStyle name="Normal 4 4 6 2 2" xfId="7311" xr:uid="{00000000-0005-0000-0000-0000F2150000}"/>
    <cellStyle name="Normal 4 4 6 2 2 2" xfId="15750" xr:uid="{E8D7010B-2965-4468-8C57-CBB8448226B8}"/>
    <cellStyle name="Normal 4 4 6 2 3" xfId="11532" xr:uid="{DCAC6F46-9A5B-4D68-9B8A-CB76E28BAB60}"/>
    <cellStyle name="Normal 4 4 6 3" xfId="5166" xr:uid="{00000000-0005-0000-0000-0000F3150000}"/>
    <cellStyle name="Normal 4 4 6 3 2" xfId="13605" xr:uid="{62EB90D4-4904-4C25-9F02-DACA63C4B2A5}"/>
    <cellStyle name="Normal 4 4 6 4" xfId="9387" xr:uid="{6E219F45-2475-4049-9812-D9D52519607D}"/>
    <cellStyle name="Normal 4 4 7" xfId="1271" xr:uid="{00000000-0005-0000-0000-0000F4150000}"/>
    <cellStyle name="Normal 4 4 7 2" xfId="3501" xr:uid="{00000000-0005-0000-0000-0000F5150000}"/>
    <cellStyle name="Normal 4 4 7 2 2" xfId="7724" xr:uid="{00000000-0005-0000-0000-0000F6150000}"/>
    <cellStyle name="Normal 4 4 7 2 2 2" xfId="16163" xr:uid="{EA14489B-8AF0-48C7-B4DF-837C2BD53CC7}"/>
    <cellStyle name="Normal 4 4 7 2 3" xfId="11945" xr:uid="{3B628058-5D41-4572-8189-7CB53CDA3F2A}"/>
    <cellStyle name="Normal 4 4 7 3" xfId="5579" xr:uid="{00000000-0005-0000-0000-0000F7150000}"/>
    <cellStyle name="Normal 4 4 7 3 2" xfId="14018" xr:uid="{D542699A-D52F-451A-813D-FAC99F36EA52}"/>
    <cellStyle name="Normal 4 4 7 4" xfId="9800" xr:uid="{E1899E7A-9A52-4024-938F-3F5EAEC8649A}"/>
    <cellStyle name="Normal 4 4 8" xfId="1684" xr:uid="{00000000-0005-0000-0000-0000F8150000}"/>
    <cellStyle name="Normal 4 4 8 2" xfId="3914" xr:uid="{00000000-0005-0000-0000-0000F9150000}"/>
    <cellStyle name="Normal 4 4 8 2 2" xfId="8137" xr:uid="{00000000-0005-0000-0000-0000FA150000}"/>
    <cellStyle name="Normal 4 4 8 2 2 2" xfId="16576" xr:uid="{7A26353B-DDE0-4F99-A2B7-A84CB070FE2B}"/>
    <cellStyle name="Normal 4 4 8 2 3" xfId="12358" xr:uid="{5BAE46CE-A47E-4F70-A7B4-701BA71A8F21}"/>
    <cellStyle name="Normal 4 4 8 3" xfId="5992" xr:uid="{00000000-0005-0000-0000-0000FB150000}"/>
    <cellStyle name="Normal 4 4 8 3 2" xfId="14431" xr:uid="{496B54CF-8851-4215-8D65-4BEE1926FEE5}"/>
    <cellStyle name="Normal 4 4 8 4" xfId="10213" xr:uid="{A4D22670-FC8B-4DA0-A73D-EFC22B42ECB5}"/>
    <cellStyle name="Normal 4 4 9" xfId="2098" xr:uid="{00000000-0005-0000-0000-0000FC150000}"/>
    <cellStyle name="Normal 4 4 9 2" xfId="4327" xr:uid="{00000000-0005-0000-0000-0000FD150000}"/>
    <cellStyle name="Normal 4 4 9 2 2" xfId="8550" xr:uid="{00000000-0005-0000-0000-0000FE150000}"/>
    <cellStyle name="Normal 4 4 9 2 2 2" xfId="16989" xr:uid="{C320F5FA-F880-4262-B210-AED4C0EF890A}"/>
    <cellStyle name="Normal 4 4 9 2 3" xfId="12771" xr:uid="{EE690978-98BC-46BC-838B-49E94918ABAE}"/>
    <cellStyle name="Normal 4 4 9 3" xfId="6405" xr:uid="{00000000-0005-0000-0000-0000FF150000}"/>
    <cellStyle name="Normal 4 4 9 3 2" xfId="14844" xr:uid="{3666FF8D-610C-442F-BFBA-BE3A2F12C55C}"/>
    <cellStyle name="Normal 4 4 9 4" xfId="10626" xr:uid="{0F39E3E4-2CB0-4354-AD37-AC51902E46E7}"/>
    <cellStyle name="Normal 4 5" xfId="394" xr:uid="{00000000-0005-0000-0000-000000160000}"/>
    <cellStyle name="Normal 4 6" xfId="395" xr:uid="{00000000-0005-0000-0000-000001160000}"/>
    <cellStyle name="Normal 4 6 10" xfId="4769" xr:uid="{00000000-0005-0000-0000-000002160000}"/>
    <cellStyle name="Normal 4 6 10 2" xfId="13208" xr:uid="{3431D7B9-4310-404B-B924-247EAA44E823}"/>
    <cellStyle name="Normal 4 6 11" xfId="8990" xr:uid="{31CF566C-952A-49E4-B7E4-04ECCC9BA73B}"/>
    <cellStyle name="Normal 4 6 2" xfId="396" xr:uid="{00000000-0005-0000-0000-000003160000}"/>
    <cellStyle name="Normal 4 6 2 10" xfId="8991" xr:uid="{5F8CD18E-5B0F-4446-8FED-2ED8DD686A1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6E865E56-08BD-4ACD-9A3E-2D88412C3A8A}"/>
    <cellStyle name="Normal 4 6 2 2 2 2 2 3" xfId="11551" xr:uid="{ABDF38CF-699C-4972-8BF4-9D080EB9721B}"/>
    <cellStyle name="Normal 4 6 2 2 2 2 3" xfId="5185" xr:uid="{00000000-0005-0000-0000-000009160000}"/>
    <cellStyle name="Normal 4 6 2 2 2 2 3 2" xfId="13624" xr:uid="{A24848D0-CDDA-4ADD-A793-10FB467B022C}"/>
    <cellStyle name="Normal 4 6 2 2 2 2 4" xfId="9406" xr:uid="{A5B1ABF9-215D-44EF-90D1-FD39DBF93A66}"/>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6821BC80-DD32-4FF4-ADE7-BFA3F55EC4FD}"/>
    <cellStyle name="Normal 4 6 2 2 2 3 2 3" xfId="11964" xr:uid="{88DB946A-C8D2-488B-B2F0-FCCF39994CEA}"/>
    <cellStyle name="Normal 4 6 2 2 2 3 3" xfId="5598" xr:uid="{00000000-0005-0000-0000-00000D160000}"/>
    <cellStyle name="Normal 4 6 2 2 2 3 3 2" xfId="14037" xr:uid="{C4C566F8-D27D-4FC5-A6E6-76FFDCBCD3AA}"/>
    <cellStyle name="Normal 4 6 2 2 2 3 4" xfId="9819" xr:uid="{ECECB687-7247-4093-813C-7B82480FAB34}"/>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609AE53A-0AC1-433F-93FF-B080249B8F3A}"/>
    <cellStyle name="Normal 4 6 2 2 2 4 2 3" xfId="12377" xr:uid="{03B28E88-A3CE-4EC4-99EB-CE75E28050F6}"/>
    <cellStyle name="Normal 4 6 2 2 2 4 3" xfId="6011" xr:uid="{00000000-0005-0000-0000-000011160000}"/>
    <cellStyle name="Normal 4 6 2 2 2 4 3 2" xfId="14450" xr:uid="{5DD53336-E34A-4E3C-8538-C2C20D55C6A2}"/>
    <cellStyle name="Normal 4 6 2 2 2 4 4" xfId="10232" xr:uid="{0714C7D3-0AC8-4319-98A6-82E6A5137B0B}"/>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493D48AB-2AD7-45F6-9C1E-67B4D1583E70}"/>
    <cellStyle name="Normal 4 6 2 2 2 5 2 3" xfId="12790" xr:uid="{8FCF8FA3-511D-444A-BC5E-E77661561F3E}"/>
    <cellStyle name="Normal 4 6 2 2 2 5 3" xfId="6424" xr:uid="{00000000-0005-0000-0000-000015160000}"/>
    <cellStyle name="Normal 4 6 2 2 2 5 3 2" xfId="14863" xr:uid="{2DB4E59E-6D81-4760-92E7-D25092E6F0DC}"/>
    <cellStyle name="Normal 4 6 2 2 2 5 4" xfId="10645" xr:uid="{926A8CB5-2598-4FF5-A0FC-BB04A2906796}"/>
    <cellStyle name="Normal 4 6 2 2 2 6" xfId="2553" xr:uid="{00000000-0005-0000-0000-000016160000}"/>
    <cellStyle name="Normal 4 6 2 2 2 6 2" xfId="6837" xr:uid="{00000000-0005-0000-0000-000017160000}"/>
    <cellStyle name="Normal 4 6 2 2 2 6 2 2" xfId="15276" xr:uid="{4449E9E5-20D5-4680-B9A0-65BE57615EB5}"/>
    <cellStyle name="Normal 4 6 2 2 2 6 3" xfId="11058" xr:uid="{1DEC994D-0E20-46BE-B2CB-205C49BB04F3}"/>
    <cellStyle name="Normal 4 6 2 2 2 7" xfId="4772" xr:uid="{00000000-0005-0000-0000-000018160000}"/>
    <cellStyle name="Normal 4 6 2 2 2 7 2" xfId="13211" xr:uid="{26836CBE-47A8-4AE8-A902-B1B500828428}"/>
    <cellStyle name="Normal 4 6 2 2 2 8" xfId="8993" xr:uid="{849DE8E0-029A-4F70-9CE6-D24FE589F0DC}"/>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01F3DAD9-BFD1-4F6E-9BE3-5164DAC4D9FC}"/>
    <cellStyle name="Normal 4 6 2 2 3 2 3" xfId="11550" xr:uid="{2BB3AF03-2532-461C-ABB2-5D1DE3C721FD}"/>
    <cellStyle name="Normal 4 6 2 2 3 3" xfId="5184" xr:uid="{00000000-0005-0000-0000-00001C160000}"/>
    <cellStyle name="Normal 4 6 2 2 3 3 2" xfId="13623" xr:uid="{5C7E2743-0941-475B-88D9-A10ADDFDBF93}"/>
    <cellStyle name="Normal 4 6 2 2 3 4" xfId="9405" xr:uid="{087E6DE1-8A8F-4ADD-AB65-6C483A64E198}"/>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208D04BE-529F-4B49-978F-9134D080D1CE}"/>
    <cellStyle name="Normal 4 6 2 2 4 2 3" xfId="11963" xr:uid="{D36CAB94-334C-4C2E-A797-D71F7084DD4E}"/>
    <cellStyle name="Normal 4 6 2 2 4 3" xfId="5597" xr:uid="{00000000-0005-0000-0000-000020160000}"/>
    <cellStyle name="Normal 4 6 2 2 4 3 2" xfId="14036" xr:uid="{6BCB319D-737E-4720-A060-FC8C0D6F423D}"/>
    <cellStyle name="Normal 4 6 2 2 4 4" xfId="9818" xr:uid="{83EC5980-779C-4783-8C05-CD9C1581E263}"/>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431A8D4D-2A98-40BC-AD61-4C8429EB0135}"/>
    <cellStyle name="Normal 4 6 2 2 5 2 3" xfId="12376" xr:uid="{E8E1A163-5CD3-4DF1-99BB-93D6E250191E}"/>
    <cellStyle name="Normal 4 6 2 2 5 3" xfId="6010" xr:uid="{00000000-0005-0000-0000-000024160000}"/>
    <cellStyle name="Normal 4 6 2 2 5 3 2" xfId="14449" xr:uid="{9BEE8C85-09B7-4B86-816B-117CD214A295}"/>
    <cellStyle name="Normal 4 6 2 2 5 4" xfId="10231" xr:uid="{005CCBCC-B7D7-412A-ABA3-8722B7BFCD3E}"/>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2887EA43-DBC1-4E16-95BB-54E2AF774FC7}"/>
    <cellStyle name="Normal 4 6 2 2 6 2 3" xfId="12789" xr:uid="{1315682A-939C-44F5-9DAD-7D5CE3DCF5AA}"/>
    <cellStyle name="Normal 4 6 2 2 6 3" xfId="6423" xr:uid="{00000000-0005-0000-0000-000028160000}"/>
    <cellStyle name="Normal 4 6 2 2 6 3 2" xfId="14862" xr:uid="{38CB9345-693C-43F5-BC32-D1D5454773F2}"/>
    <cellStyle name="Normal 4 6 2 2 6 4" xfId="10644" xr:uid="{CFEE6879-E36A-4C17-9085-1B6CE3628A51}"/>
    <cellStyle name="Normal 4 6 2 2 7" xfId="2552" xr:uid="{00000000-0005-0000-0000-000029160000}"/>
    <cellStyle name="Normal 4 6 2 2 7 2" xfId="6836" xr:uid="{00000000-0005-0000-0000-00002A160000}"/>
    <cellStyle name="Normal 4 6 2 2 7 2 2" xfId="15275" xr:uid="{A1F6221E-958E-44F3-A53E-90B6DE1D5053}"/>
    <cellStyle name="Normal 4 6 2 2 7 3" xfId="11057" xr:uid="{BC47950F-677A-4554-AB57-6213ECD755EC}"/>
    <cellStyle name="Normal 4 6 2 2 8" xfId="4771" xr:uid="{00000000-0005-0000-0000-00002B160000}"/>
    <cellStyle name="Normal 4 6 2 2 8 2" xfId="13210" xr:uid="{E4067FCA-43C3-411B-B54E-D5D790888DD7}"/>
    <cellStyle name="Normal 4 6 2 2 9" xfId="8992" xr:uid="{8F483C00-ECC8-4113-98F6-226571F2FD3E}"/>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F8A6D95F-E4D9-4649-979D-26005A405092}"/>
    <cellStyle name="Normal 4 6 2 3 2 2 3" xfId="11552" xr:uid="{2715FF16-FCE0-4052-9658-7ABDADA9C92F}"/>
    <cellStyle name="Normal 4 6 2 3 2 3" xfId="5186" xr:uid="{00000000-0005-0000-0000-000030160000}"/>
    <cellStyle name="Normal 4 6 2 3 2 3 2" xfId="13625" xr:uid="{33E37921-7C85-47AA-A0F6-C1BD2E3EC357}"/>
    <cellStyle name="Normal 4 6 2 3 2 4" xfId="9407" xr:uid="{D50783AD-E532-4DFA-B893-A01E219E6A68}"/>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13863C92-CC8A-466E-9B6C-7038CF72F047}"/>
    <cellStyle name="Normal 4 6 2 3 3 2 3" xfId="11965" xr:uid="{3CC2D1F4-E452-408B-840C-EF9820582EEE}"/>
    <cellStyle name="Normal 4 6 2 3 3 3" xfId="5599" xr:uid="{00000000-0005-0000-0000-000034160000}"/>
    <cellStyle name="Normal 4 6 2 3 3 3 2" xfId="14038" xr:uid="{9388476D-A24F-4819-95F5-1BC6DFCF4CEC}"/>
    <cellStyle name="Normal 4 6 2 3 3 4" xfId="9820" xr:uid="{84D9A699-DCE2-4986-8004-9C37AD802B8E}"/>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F0592F5C-A63C-49BF-9EA4-23D8838833B0}"/>
    <cellStyle name="Normal 4 6 2 3 4 2 3" xfId="12378" xr:uid="{11D75F73-47FB-4317-ADFC-FB6AD754DB9B}"/>
    <cellStyle name="Normal 4 6 2 3 4 3" xfId="6012" xr:uid="{00000000-0005-0000-0000-000038160000}"/>
    <cellStyle name="Normal 4 6 2 3 4 3 2" xfId="14451" xr:uid="{E2ADFDB7-C19A-4B2A-AE3A-B9EAE246CA11}"/>
    <cellStyle name="Normal 4 6 2 3 4 4" xfId="10233" xr:uid="{7627811B-FF2B-4EF5-BB03-EF1761619F32}"/>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48DCA7CD-C718-4E8E-B2BC-0247BD22CB53}"/>
    <cellStyle name="Normal 4 6 2 3 5 2 3" xfId="12791" xr:uid="{E07B6339-6645-40E1-93AB-86D50F0B702B}"/>
    <cellStyle name="Normal 4 6 2 3 5 3" xfId="6425" xr:uid="{00000000-0005-0000-0000-00003C160000}"/>
    <cellStyle name="Normal 4 6 2 3 5 3 2" xfId="14864" xr:uid="{54A68A0E-14DF-437E-ACEB-D470F4E671A6}"/>
    <cellStyle name="Normal 4 6 2 3 5 4" xfId="10646" xr:uid="{44BA2089-1E53-408E-A5BC-B85E5972C0D1}"/>
    <cellStyle name="Normal 4 6 2 3 6" xfId="2554" xr:uid="{00000000-0005-0000-0000-00003D160000}"/>
    <cellStyle name="Normal 4 6 2 3 6 2" xfId="6838" xr:uid="{00000000-0005-0000-0000-00003E160000}"/>
    <cellStyle name="Normal 4 6 2 3 6 2 2" xfId="15277" xr:uid="{203127B1-BF5A-44B7-85D8-E9D642290D46}"/>
    <cellStyle name="Normal 4 6 2 3 6 3" xfId="11059" xr:uid="{0C198A93-AEA7-4895-8927-2F49AD27E323}"/>
    <cellStyle name="Normal 4 6 2 3 7" xfId="4773" xr:uid="{00000000-0005-0000-0000-00003F160000}"/>
    <cellStyle name="Normal 4 6 2 3 7 2" xfId="13212" xr:uid="{FAD80061-531E-49C8-9A83-1F6CAC0804B0}"/>
    <cellStyle name="Normal 4 6 2 3 8" xfId="8994" xr:uid="{925114D5-87C4-4071-B8E5-B3A15ED51682}"/>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9D2FF4FF-890C-4FFB-A6EB-F173D69FAAFE}"/>
    <cellStyle name="Normal 4 6 2 4 2 3" xfId="11549" xr:uid="{DC1A5EEE-86DF-494E-A465-30DB86D85316}"/>
    <cellStyle name="Normal 4 6 2 4 3" xfId="5183" xr:uid="{00000000-0005-0000-0000-000043160000}"/>
    <cellStyle name="Normal 4 6 2 4 3 2" xfId="13622" xr:uid="{08B6D107-F8E1-4C0C-A1D4-893F665B6A19}"/>
    <cellStyle name="Normal 4 6 2 4 4" xfId="9404" xr:uid="{8239F535-4ED9-4E7D-9DB3-5F9DE7390BC1}"/>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9C337A3F-3F23-45A5-A238-E6F782420A71}"/>
    <cellStyle name="Normal 4 6 2 5 2 3" xfId="11962" xr:uid="{D6FCBE2B-D3BA-4BC8-AC42-50A4A89DECCB}"/>
    <cellStyle name="Normal 4 6 2 5 3" xfId="5596" xr:uid="{00000000-0005-0000-0000-000047160000}"/>
    <cellStyle name="Normal 4 6 2 5 3 2" xfId="14035" xr:uid="{8ADE4BA6-EAA2-411F-9071-CD21926CB276}"/>
    <cellStyle name="Normal 4 6 2 5 4" xfId="9817" xr:uid="{85E96C2C-4195-4476-978E-85B935A8C952}"/>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2A77BA61-C155-4F43-B5AE-7E7C05482410}"/>
    <cellStyle name="Normal 4 6 2 6 2 3" xfId="12375" xr:uid="{13F2AB02-0955-413C-861B-332B28D0635D}"/>
    <cellStyle name="Normal 4 6 2 6 3" xfId="6009" xr:uid="{00000000-0005-0000-0000-00004B160000}"/>
    <cellStyle name="Normal 4 6 2 6 3 2" xfId="14448" xr:uid="{351C2377-4355-4ACD-A6CB-893DFE81CF20}"/>
    <cellStyle name="Normal 4 6 2 6 4" xfId="10230" xr:uid="{FAEDEE5C-4CE9-4304-9548-FEA5A4C0BB28}"/>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5DCF120A-97E3-45D0-AF11-7075D6EFB5B2}"/>
    <cellStyle name="Normal 4 6 2 7 2 3" xfId="12788" xr:uid="{7D402F0B-3431-4F1C-9ECB-1CC9C4118180}"/>
    <cellStyle name="Normal 4 6 2 7 3" xfId="6422" xr:uid="{00000000-0005-0000-0000-00004F160000}"/>
    <cellStyle name="Normal 4 6 2 7 3 2" xfId="14861" xr:uid="{C10BCA23-0D8A-46AB-9529-2CAB6A8D920B}"/>
    <cellStyle name="Normal 4 6 2 7 4" xfId="10643" xr:uid="{B6EB276F-1087-41FE-BDEC-C996721EC88D}"/>
    <cellStyle name="Normal 4 6 2 8" xfId="2551" xr:uid="{00000000-0005-0000-0000-000050160000}"/>
    <cellStyle name="Normal 4 6 2 8 2" xfId="6835" xr:uid="{00000000-0005-0000-0000-000051160000}"/>
    <cellStyle name="Normal 4 6 2 8 2 2" xfId="15274" xr:uid="{AC4D9D63-14D2-4CEA-AE63-2F8C313A065C}"/>
    <cellStyle name="Normal 4 6 2 8 3" xfId="11056" xr:uid="{088C29F0-84E8-4853-8C59-7919EF46780E}"/>
    <cellStyle name="Normal 4 6 2 9" xfId="4770" xr:uid="{00000000-0005-0000-0000-000052160000}"/>
    <cellStyle name="Normal 4 6 2 9 2" xfId="13209" xr:uid="{99207AD7-5620-43F0-B481-F4ED300F672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10979D61-1DB2-4941-8ACF-3C32E7620B4B}"/>
    <cellStyle name="Normal 4 6 3 2 2 2 3" xfId="11554" xr:uid="{717924A7-C627-44E6-99C5-3247942266F1}"/>
    <cellStyle name="Normal 4 6 3 2 2 3" xfId="5188" xr:uid="{00000000-0005-0000-0000-000058160000}"/>
    <cellStyle name="Normal 4 6 3 2 2 3 2" xfId="13627" xr:uid="{1E8D35FF-43BE-4542-9578-1EC6E609C946}"/>
    <cellStyle name="Normal 4 6 3 2 2 4" xfId="9409" xr:uid="{00003C07-5805-4B7D-9600-D844BD2C5235}"/>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199D5394-C4EA-4743-B14D-5E8D14B718B9}"/>
    <cellStyle name="Normal 4 6 3 2 3 2 3" xfId="11967" xr:uid="{22C09AD6-78C8-4584-9CD6-F47A2379737E}"/>
    <cellStyle name="Normal 4 6 3 2 3 3" xfId="5601" xr:uid="{00000000-0005-0000-0000-00005C160000}"/>
    <cellStyle name="Normal 4 6 3 2 3 3 2" xfId="14040" xr:uid="{836ECC83-73C7-417C-98E7-004C512D2CDA}"/>
    <cellStyle name="Normal 4 6 3 2 3 4" xfId="9822" xr:uid="{E095BC50-7043-46C3-A205-24B7908E29B6}"/>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2A0D9243-AACC-429B-A864-D7E3B83A665C}"/>
    <cellStyle name="Normal 4 6 3 2 4 2 3" xfId="12380" xr:uid="{46F7106A-EFA2-43EC-90AF-FC04DB1F822C}"/>
    <cellStyle name="Normal 4 6 3 2 4 3" xfId="6014" xr:uid="{00000000-0005-0000-0000-000060160000}"/>
    <cellStyle name="Normal 4 6 3 2 4 3 2" xfId="14453" xr:uid="{C9C9BEAE-6D58-42D3-AB22-25629B32B9F0}"/>
    <cellStyle name="Normal 4 6 3 2 4 4" xfId="10235" xr:uid="{8F2C6971-CFD0-4265-BE48-1E0276BF80D6}"/>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7C1283F5-930C-4720-8B42-751FBBEF0D9A}"/>
    <cellStyle name="Normal 4 6 3 2 5 2 3" xfId="12793" xr:uid="{C90B3ED7-9CC7-46A9-9209-665D79D7521D}"/>
    <cellStyle name="Normal 4 6 3 2 5 3" xfId="6427" xr:uid="{00000000-0005-0000-0000-000064160000}"/>
    <cellStyle name="Normal 4 6 3 2 5 3 2" xfId="14866" xr:uid="{E27843DD-8A83-4EFD-9E59-35B96124A116}"/>
    <cellStyle name="Normal 4 6 3 2 5 4" xfId="10648" xr:uid="{DF113F32-FAB4-4409-972E-AD30AD3E1D59}"/>
    <cellStyle name="Normal 4 6 3 2 6" xfId="2556" xr:uid="{00000000-0005-0000-0000-000065160000}"/>
    <cellStyle name="Normal 4 6 3 2 6 2" xfId="6840" xr:uid="{00000000-0005-0000-0000-000066160000}"/>
    <cellStyle name="Normal 4 6 3 2 6 2 2" xfId="15279" xr:uid="{03711ACB-D66A-4036-955A-3A07AF073F07}"/>
    <cellStyle name="Normal 4 6 3 2 6 3" xfId="11061" xr:uid="{053B8CAA-A901-49DC-BB4B-8D6B66C9A663}"/>
    <cellStyle name="Normal 4 6 3 2 7" xfId="4775" xr:uid="{00000000-0005-0000-0000-000067160000}"/>
    <cellStyle name="Normal 4 6 3 2 7 2" xfId="13214" xr:uid="{E5B6D92A-57E0-4041-BACB-78F7BC9117F0}"/>
    <cellStyle name="Normal 4 6 3 2 8" xfId="8996" xr:uid="{5B33E220-448A-4BB7-A754-E434871A0FE7}"/>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064E060C-2E17-426F-80DD-7096197DD1F0}"/>
    <cellStyle name="Normal 4 6 3 3 2 3" xfId="11553" xr:uid="{D157D11F-9AFE-4B83-A0A2-F7B284A0DCB2}"/>
    <cellStyle name="Normal 4 6 3 3 3" xfId="5187" xr:uid="{00000000-0005-0000-0000-00006B160000}"/>
    <cellStyle name="Normal 4 6 3 3 3 2" xfId="13626" xr:uid="{DA2F419D-A112-46D3-B034-B0103B8F617B}"/>
    <cellStyle name="Normal 4 6 3 3 4" xfId="9408" xr:uid="{1B119EDA-8B36-43BF-B82B-978798122912}"/>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F905F8B9-BD7C-4EA5-A061-18936899CCBD}"/>
    <cellStyle name="Normal 4 6 3 4 2 3" xfId="11966" xr:uid="{75B5A7F7-081E-4D6E-ABB9-50165F6ACFB4}"/>
    <cellStyle name="Normal 4 6 3 4 3" xfId="5600" xr:uid="{00000000-0005-0000-0000-00006F160000}"/>
    <cellStyle name="Normal 4 6 3 4 3 2" xfId="14039" xr:uid="{80C224EB-ECD1-45FD-BAE5-7CE8646EDC7A}"/>
    <cellStyle name="Normal 4 6 3 4 4" xfId="9821" xr:uid="{E8555F08-8B40-4EDD-B23C-1B7671E326AC}"/>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EF8ED33E-7139-4F1E-949B-40300C5C143A}"/>
    <cellStyle name="Normal 4 6 3 5 2 3" xfId="12379" xr:uid="{73C4C943-453E-4168-B5F8-F403C04AB262}"/>
    <cellStyle name="Normal 4 6 3 5 3" xfId="6013" xr:uid="{00000000-0005-0000-0000-000073160000}"/>
    <cellStyle name="Normal 4 6 3 5 3 2" xfId="14452" xr:uid="{A8E8B435-EC58-49EA-A3D4-145D714A0C06}"/>
    <cellStyle name="Normal 4 6 3 5 4" xfId="10234" xr:uid="{56E77891-E309-4008-B6D0-650A57175540}"/>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66AA10BE-7298-4F51-B9DE-F611DE5D6860}"/>
    <cellStyle name="Normal 4 6 3 6 2 3" xfId="12792" xr:uid="{BD4F0DB0-62E1-4585-8D9C-68331CD63B8E}"/>
    <cellStyle name="Normal 4 6 3 6 3" xfId="6426" xr:uid="{00000000-0005-0000-0000-000077160000}"/>
    <cellStyle name="Normal 4 6 3 6 3 2" xfId="14865" xr:uid="{C6F2F630-FCE9-47D1-A484-8CF3DC729CBE}"/>
    <cellStyle name="Normal 4 6 3 6 4" xfId="10647" xr:uid="{D86E8641-46EB-4BDD-909B-5DE3059B1A18}"/>
    <cellStyle name="Normal 4 6 3 7" xfId="2555" xr:uid="{00000000-0005-0000-0000-000078160000}"/>
    <cellStyle name="Normal 4 6 3 7 2" xfId="6839" xr:uid="{00000000-0005-0000-0000-000079160000}"/>
    <cellStyle name="Normal 4 6 3 7 2 2" xfId="15278" xr:uid="{1EC2159A-B0FB-4133-8833-8AC4F51FB0A8}"/>
    <cellStyle name="Normal 4 6 3 7 3" xfId="11060" xr:uid="{BF0C4344-3245-4C86-A2EF-B17649F88CC7}"/>
    <cellStyle name="Normal 4 6 3 8" xfId="4774" xr:uid="{00000000-0005-0000-0000-00007A160000}"/>
    <cellStyle name="Normal 4 6 3 8 2" xfId="13213" xr:uid="{3118AB9B-9F37-4A09-9ADE-062E9AF11C89}"/>
    <cellStyle name="Normal 4 6 3 9" xfId="8995" xr:uid="{BF740F53-6DE8-499D-AB52-57EC446F9F17}"/>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C08EEE3B-0CA6-4BC8-9358-F2AE45516C2B}"/>
    <cellStyle name="Normal 4 6 4 2 2 3" xfId="11555" xr:uid="{CE074C98-4A86-4453-A848-904783B0C1B3}"/>
    <cellStyle name="Normal 4 6 4 2 3" xfId="5189" xr:uid="{00000000-0005-0000-0000-00007F160000}"/>
    <cellStyle name="Normal 4 6 4 2 3 2" xfId="13628" xr:uid="{CF404227-8ED1-4772-A115-1A5522A08EAC}"/>
    <cellStyle name="Normal 4 6 4 2 4" xfId="9410" xr:uid="{87F4944A-7620-47EF-A624-B2A46EA0B9A6}"/>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36CFD3E0-C99F-4E82-B50B-A92674315265}"/>
    <cellStyle name="Normal 4 6 4 3 2 3" xfId="11968" xr:uid="{3F61DCB6-3281-4A08-A9F1-ACEC48D6251E}"/>
    <cellStyle name="Normal 4 6 4 3 3" xfId="5602" xr:uid="{00000000-0005-0000-0000-000083160000}"/>
    <cellStyle name="Normal 4 6 4 3 3 2" xfId="14041" xr:uid="{A123B158-D56F-4397-8C67-23645620E96D}"/>
    <cellStyle name="Normal 4 6 4 3 4" xfId="9823" xr:uid="{904F5328-3BF5-4298-8640-0A769D9A8578}"/>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3ED65D81-1950-45C9-A1DB-884BAE3A555F}"/>
    <cellStyle name="Normal 4 6 4 4 2 3" xfId="12381" xr:uid="{421A1AF3-F727-4180-B656-AD2EC9A05071}"/>
    <cellStyle name="Normal 4 6 4 4 3" xfId="6015" xr:uid="{00000000-0005-0000-0000-000087160000}"/>
    <cellStyle name="Normal 4 6 4 4 3 2" xfId="14454" xr:uid="{231034E7-B8FB-49F9-B72F-AC00FA5BBD71}"/>
    <cellStyle name="Normal 4 6 4 4 4" xfId="10236" xr:uid="{7B4B13A8-A5BF-4DDA-A926-601D6D6F94CA}"/>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6CBA86F1-88E8-4CFC-8A37-E4C7E48C3FD1}"/>
    <cellStyle name="Normal 4 6 4 5 2 3" xfId="12794" xr:uid="{484C14B6-F7E8-431A-8DED-0C7AEF133E51}"/>
    <cellStyle name="Normal 4 6 4 5 3" xfId="6428" xr:uid="{00000000-0005-0000-0000-00008B160000}"/>
    <cellStyle name="Normal 4 6 4 5 3 2" xfId="14867" xr:uid="{4BBCC09A-CF6B-408C-9781-B3E6AC70A7AE}"/>
    <cellStyle name="Normal 4 6 4 5 4" xfId="10649" xr:uid="{77B8950F-356F-4949-8B52-B445D2634782}"/>
    <cellStyle name="Normal 4 6 4 6" xfId="2557" xr:uid="{00000000-0005-0000-0000-00008C160000}"/>
    <cellStyle name="Normal 4 6 4 6 2" xfId="6841" xr:uid="{00000000-0005-0000-0000-00008D160000}"/>
    <cellStyle name="Normal 4 6 4 6 2 2" xfId="15280" xr:uid="{A184ADB5-B3A4-4F78-A780-3DE33D253F40}"/>
    <cellStyle name="Normal 4 6 4 6 3" xfId="11062" xr:uid="{6730E7A0-69D0-41BB-A999-8AB05A62FFA2}"/>
    <cellStyle name="Normal 4 6 4 7" xfId="4776" xr:uid="{00000000-0005-0000-0000-00008E160000}"/>
    <cellStyle name="Normal 4 6 4 7 2" xfId="13215" xr:uid="{CC4DE135-2AB0-4249-8BE7-B758558B5709}"/>
    <cellStyle name="Normal 4 6 4 8" xfId="8997" xr:uid="{277D4A20-1FF2-48F1-9368-80687C10A5DA}"/>
    <cellStyle name="Normal 4 6 5" xfId="869" xr:uid="{00000000-0005-0000-0000-00008F160000}"/>
    <cellStyle name="Normal 4 6 5 2" xfId="3104" xr:uid="{00000000-0005-0000-0000-000090160000}"/>
    <cellStyle name="Normal 4 6 5 2 2" xfId="7327" xr:uid="{00000000-0005-0000-0000-000091160000}"/>
    <cellStyle name="Normal 4 6 5 2 2 2" xfId="15766" xr:uid="{EDB0517C-564C-4DC7-86FB-75F2D38D1F51}"/>
    <cellStyle name="Normal 4 6 5 2 3" xfId="11548" xr:uid="{9888D39B-B614-4E5C-90C9-0250DCCFC825}"/>
    <cellStyle name="Normal 4 6 5 3" xfId="5182" xr:uid="{00000000-0005-0000-0000-000092160000}"/>
    <cellStyle name="Normal 4 6 5 3 2" xfId="13621" xr:uid="{A3027255-785F-4E2C-BDFF-92D84E7292F7}"/>
    <cellStyle name="Normal 4 6 5 4" xfId="9403" xr:uid="{EF89B3DD-53EF-40EA-A2B6-17BB983EE607}"/>
    <cellStyle name="Normal 4 6 6" xfId="1287" xr:uid="{00000000-0005-0000-0000-000093160000}"/>
    <cellStyle name="Normal 4 6 6 2" xfId="3517" xr:uid="{00000000-0005-0000-0000-000094160000}"/>
    <cellStyle name="Normal 4 6 6 2 2" xfId="7740" xr:uid="{00000000-0005-0000-0000-000095160000}"/>
    <cellStyle name="Normal 4 6 6 2 2 2" xfId="16179" xr:uid="{7E397440-8B16-4C8A-B16A-DC62092A0E24}"/>
    <cellStyle name="Normal 4 6 6 2 3" xfId="11961" xr:uid="{275AD3E1-C82D-4075-859A-5A2CE515D7AE}"/>
    <cellStyle name="Normal 4 6 6 3" xfId="5595" xr:uid="{00000000-0005-0000-0000-000096160000}"/>
    <cellStyle name="Normal 4 6 6 3 2" xfId="14034" xr:uid="{26E73639-7F55-4EAB-B306-993BF5F507E6}"/>
    <cellStyle name="Normal 4 6 6 4" xfId="9816" xr:uid="{02D11E75-0EEE-4155-8690-E47DFEF2F99D}"/>
    <cellStyle name="Normal 4 6 7" xfId="1700" xr:uid="{00000000-0005-0000-0000-000097160000}"/>
    <cellStyle name="Normal 4 6 7 2" xfId="3930" xr:uid="{00000000-0005-0000-0000-000098160000}"/>
    <cellStyle name="Normal 4 6 7 2 2" xfId="8153" xr:uid="{00000000-0005-0000-0000-000099160000}"/>
    <cellStyle name="Normal 4 6 7 2 2 2" xfId="16592" xr:uid="{75FAD0CD-40BE-4E53-B052-6822A6462B24}"/>
    <cellStyle name="Normal 4 6 7 2 3" xfId="12374" xr:uid="{E9476B1C-9E01-42E8-88E3-93A411801A70}"/>
    <cellStyle name="Normal 4 6 7 3" xfId="6008" xr:uid="{00000000-0005-0000-0000-00009A160000}"/>
    <cellStyle name="Normal 4 6 7 3 2" xfId="14447" xr:uid="{0637795F-C3E5-4ED8-A131-9D376D565B88}"/>
    <cellStyle name="Normal 4 6 7 4" xfId="10229" xr:uid="{18F14DBD-14A9-47CC-8689-492E62CC437E}"/>
    <cellStyle name="Normal 4 6 8" xfId="2114" xr:uid="{00000000-0005-0000-0000-00009B160000}"/>
    <cellStyle name="Normal 4 6 8 2" xfId="4343" xr:uid="{00000000-0005-0000-0000-00009C160000}"/>
    <cellStyle name="Normal 4 6 8 2 2" xfId="8566" xr:uid="{00000000-0005-0000-0000-00009D160000}"/>
    <cellStyle name="Normal 4 6 8 2 2 2" xfId="17005" xr:uid="{7FA6829A-9984-4155-87B7-F3DBA7710A52}"/>
    <cellStyle name="Normal 4 6 8 2 3" xfId="12787" xr:uid="{F03860B3-5376-426D-8D8C-BCA81C773F7C}"/>
    <cellStyle name="Normal 4 6 8 3" xfId="6421" xr:uid="{00000000-0005-0000-0000-00009E160000}"/>
    <cellStyle name="Normal 4 6 8 3 2" xfId="14860" xr:uid="{44162300-A9FD-4D29-9D7A-E426E056B8D7}"/>
    <cellStyle name="Normal 4 6 8 4" xfId="10642" xr:uid="{E0F9A05D-60BD-401A-94F8-0DA29548D1E1}"/>
    <cellStyle name="Normal 4 6 9" xfId="2550" xr:uid="{00000000-0005-0000-0000-00009F160000}"/>
    <cellStyle name="Normal 4 6 9 2" xfId="6834" xr:uid="{00000000-0005-0000-0000-0000A0160000}"/>
    <cellStyle name="Normal 4 6 9 2 2" xfId="15273" xr:uid="{1AB49BE0-A751-414C-ABD0-29FA14FD9466}"/>
    <cellStyle name="Normal 4 6 9 3" xfId="11055" xr:uid="{1A0F4E3C-83E6-447A-8AF4-C786E66B9FB9}"/>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48B4062F-F4C3-406F-9BC0-0D421C9ED8E6}"/>
    <cellStyle name="Normal 4 7 2 2 2 3" xfId="11557" xr:uid="{40A8FC10-42B7-41B5-8A51-68BC3A5EA00F}"/>
    <cellStyle name="Normal 4 7 2 2 3" xfId="5191" xr:uid="{00000000-0005-0000-0000-0000A6160000}"/>
    <cellStyle name="Normal 4 7 2 2 3 2" xfId="13630" xr:uid="{2D20250C-C03B-45DF-9EAA-84009C6A6E7F}"/>
    <cellStyle name="Normal 4 7 2 2 4" xfId="9412" xr:uid="{EFF278A7-79F2-41A0-96F3-15A964BD19EF}"/>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A278FC54-0AFA-4B29-B1D9-02F66AB5D804}"/>
    <cellStyle name="Normal 4 7 2 3 2 3" xfId="11970" xr:uid="{83564B6E-02BD-4E89-8955-EAD47F5BCD44}"/>
    <cellStyle name="Normal 4 7 2 3 3" xfId="5604" xr:uid="{00000000-0005-0000-0000-0000AA160000}"/>
    <cellStyle name="Normal 4 7 2 3 3 2" xfId="14043" xr:uid="{CC937DF7-4D92-4C6E-B463-0A65DF26FC44}"/>
    <cellStyle name="Normal 4 7 2 3 4" xfId="9825" xr:uid="{21F029DF-561D-4728-8602-F8F5F2CECEA5}"/>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39D866DE-2120-40AC-AFBF-810F5DEBFD92}"/>
    <cellStyle name="Normal 4 7 2 4 2 3" xfId="12383" xr:uid="{22964204-6981-4196-ACB6-7CF0CD979D18}"/>
    <cellStyle name="Normal 4 7 2 4 3" xfId="6017" xr:uid="{00000000-0005-0000-0000-0000AE160000}"/>
    <cellStyle name="Normal 4 7 2 4 3 2" xfId="14456" xr:uid="{6FB7BB78-8113-465D-B464-1E3E80B04FB6}"/>
    <cellStyle name="Normal 4 7 2 4 4" xfId="10238" xr:uid="{D06B8467-7289-4E30-9D02-FD07967C1CDD}"/>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30009649-B862-4E69-9272-A7E96DE2EB9A}"/>
    <cellStyle name="Normal 4 7 2 5 2 3" xfId="12796" xr:uid="{E4A64636-8DA6-4753-904B-BB6FCF7667B2}"/>
    <cellStyle name="Normal 4 7 2 5 3" xfId="6430" xr:uid="{00000000-0005-0000-0000-0000B2160000}"/>
    <cellStyle name="Normal 4 7 2 5 3 2" xfId="14869" xr:uid="{D8DDC710-D58C-4B34-B5E0-8C7716C6818D}"/>
    <cellStyle name="Normal 4 7 2 5 4" xfId="10651" xr:uid="{3AF9A6B1-2D39-43AA-871A-8EE146423EDF}"/>
    <cellStyle name="Normal 4 7 2 6" xfId="2559" xr:uid="{00000000-0005-0000-0000-0000B3160000}"/>
    <cellStyle name="Normal 4 7 2 6 2" xfId="6843" xr:uid="{00000000-0005-0000-0000-0000B4160000}"/>
    <cellStyle name="Normal 4 7 2 6 2 2" xfId="15282" xr:uid="{A34BA2FF-EDFB-41CB-A5B6-A2435FCA06AF}"/>
    <cellStyle name="Normal 4 7 2 6 3" xfId="11064" xr:uid="{A7B46FC0-E58F-4EF6-A7A4-EE035719858B}"/>
    <cellStyle name="Normal 4 7 2 7" xfId="4778" xr:uid="{00000000-0005-0000-0000-0000B5160000}"/>
    <cellStyle name="Normal 4 7 2 7 2" xfId="13217" xr:uid="{3D989DC9-5D2D-424C-9115-C3DD8FFC6736}"/>
    <cellStyle name="Normal 4 7 2 8" xfId="8999" xr:uid="{79E2F1F6-D8B2-41DB-A5AF-1393353BD85E}"/>
    <cellStyle name="Normal 4 7 3" xfId="877" xr:uid="{00000000-0005-0000-0000-0000B6160000}"/>
    <cellStyle name="Normal 4 7 3 2" xfId="3112" xr:uid="{00000000-0005-0000-0000-0000B7160000}"/>
    <cellStyle name="Normal 4 7 3 2 2" xfId="7335" xr:uid="{00000000-0005-0000-0000-0000B8160000}"/>
    <cellStyle name="Normal 4 7 3 2 2 2" xfId="15774" xr:uid="{D0140947-5A0A-4C3A-AED6-E1292BB084CE}"/>
    <cellStyle name="Normal 4 7 3 2 3" xfId="11556" xr:uid="{95836613-EECF-46ED-B1E4-ECA019F3FDDE}"/>
    <cellStyle name="Normal 4 7 3 3" xfId="5190" xr:uid="{00000000-0005-0000-0000-0000B9160000}"/>
    <cellStyle name="Normal 4 7 3 3 2" xfId="13629" xr:uid="{EE0A2F4F-A295-4D18-BA3C-F917D86F04EB}"/>
    <cellStyle name="Normal 4 7 3 4" xfId="9411" xr:uid="{CDD4895B-0D12-4636-81AE-6C78A522A7F9}"/>
    <cellStyle name="Normal 4 7 4" xfId="1295" xr:uid="{00000000-0005-0000-0000-0000BA160000}"/>
    <cellStyle name="Normal 4 7 4 2" xfId="3525" xr:uid="{00000000-0005-0000-0000-0000BB160000}"/>
    <cellStyle name="Normal 4 7 4 2 2" xfId="7748" xr:uid="{00000000-0005-0000-0000-0000BC160000}"/>
    <cellStyle name="Normal 4 7 4 2 2 2" xfId="16187" xr:uid="{683DFA44-D294-4CF9-A46F-1200E9316BED}"/>
    <cellStyle name="Normal 4 7 4 2 3" xfId="11969" xr:uid="{DE24B867-E353-4F2A-B717-641AE0E5BD7F}"/>
    <cellStyle name="Normal 4 7 4 3" xfId="5603" xr:uid="{00000000-0005-0000-0000-0000BD160000}"/>
    <cellStyle name="Normal 4 7 4 3 2" xfId="14042" xr:uid="{A26B218D-1143-432C-A4F2-55EC11CE9180}"/>
    <cellStyle name="Normal 4 7 4 4" xfId="9824" xr:uid="{D0E287CC-7430-444C-AE36-CC80A3DC2656}"/>
    <cellStyle name="Normal 4 7 5" xfId="1708" xr:uid="{00000000-0005-0000-0000-0000BE160000}"/>
    <cellStyle name="Normal 4 7 5 2" xfId="3938" xr:uid="{00000000-0005-0000-0000-0000BF160000}"/>
    <cellStyle name="Normal 4 7 5 2 2" xfId="8161" xr:uid="{00000000-0005-0000-0000-0000C0160000}"/>
    <cellStyle name="Normal 4 7 5 2 2 2" xfId="16600" xr:uid="{D9F8C769-DCEB-4A2F-B3AE-16ADC52CA7C7}"/>
    <cellStyle name="Normal 4 7 5 2 3" xfId="12382" xr:uid="{4B58B966-F72A-44E9-9A5D-DC27B1EDD696}"/>
    <cellStyle name="Normal 4 7 5 3" xfId="6016" xr:uid="{00000000-0005-0000-0000-0000C1160000}"/>
    <cellStyle name="Normal 4 7 5 3 2" xfId="14455" xr:uid="{18E6803B-E04D-47D4-8CE7-DD5FBADB5DD5}"/>
    <cellStyle name="Normal 4 7 5 4" xfId="10237" xr:uid="{D3AA2E22-7049-4536-96B5-AB94C18FB76E}"/>
    <cellStyle name="Normal 4 7 6" xfId="2122" xr:uid="{00000000-0005-0000-0000-0000C2160000}"/>
    <cellStyle name="Normal 4 7 6 2" xfId="4351" xr:uid="{00000000-0005-0000-0000-0000C3160000}"/>
    <cellStyle name="Normal 4 7 6 2 2" xfId="8574" xr:uid="{00000000-0005-0000-0000-0000C4160000}"/>
    <cellStyle name="Normal 4 7 6 2 2 2" xfId="17013" xr:uid="{C8279241-F7F4-4CB6-80BB-20DDE6BC1305}"/>
    <cellStyle name="Normal 4 7 6 2 3" xfId="12795" xr:uid="{42C6A68F-70FC-435E-B457-BAAAC362307A}"/>
    <cellStyle name="Normal 4 7 6 3" xfId="6429" xr:uid="{00000000-0005-0000-0000-0000C5160000}"/>
    <cellStyle name="Normal 4 7 6 3 2" xfId="14868" xr:uid="{3B1C73A2-A015-4352-90C3-3DD51C997CDF}"/>
    <cellStyle name="Normal 4 7 6 4" xfId="10650" xr:uid="{084A0F5C-D930-4779-8943-1FFB8E8E58B3}"/>
    <cellStyle name="Normal 4 7 7" xfId="2558" xr:uid="{00000000-0005-0000-0000-0000C6160000}"/>
    <cellStyle name="Normal 4 7 7 2" xfId="6842" xr:uid="{00000000-0005-0000-0000-0000C7160000}"/>
    <cellStyle name="Normal 4 7 7 2 2" xfId="15281" xr:uid="{D039D40A-0B60-4F73-BA58-096511A0CA81}"/>
    <cellStyle name="Normal 4 7 7 3" xfId="11063" xr:uid="{98A46F86-278F-44FA-9C0F-065405F0C806}"/>
    <cellStyle name="Normal 4 7 8" xfId="4777" xr:uid="{00000000-0005-0000-0000-0000C8160000}"/>
    <cellStyle name="Normal 4 7 8 2" xfId="13216" xr:uid="{567215BD-7118-43BF-974A-4E4834D535A1}"/>
    <cellStyle name="Normal 4 7 9" xfId="8998" xr:uid="{B8191527-47E8-4323-AFEE-4872D5B3CFCF}"/>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13D65731-EFB3-4DAE-AEDC-FF341EB1555D}"/>
    <cellStyle name="Normal 4 8 2 2 3" xfId="11558" xr:uid="{602FBDB4-0B4C-431B-BFE7-636E19C7B672}"/>
    <cellStyle name="Normal 4 8 2 3" xfId="5192" xr:uid="{00000000-0005-0000-0000-0000CD160000}"/>
    <cellStyle name="Normal 4 8 2 3 2" xfId="13631" xr:uid="{8C3A6033-9C7F-48F3-A552-D18F2A7F4E15}"/>
    <cellStyle name="Normal 4 8 2 4" xfId="9413" xr:uid="{103FA343-098B-4FE3-8F05-80D9E4D1B2DB}"/>
    <cellStyle name="Normal 4 8 3" xfId="1297" xr:uid="{00000000-0005-0000-0000-0000CE160000}"/>
    <cellStyle name="Normal 4 8 3 2" xfId="3527" xr:uid="{00000000-0005-0000-0000-0000CF160000}"/>
    <cellStyle name="Normal 4 8 3 2 2" xfId="7750" xr:uid="{00000000-0005-0000-0000-0000D0160000}"/>
    <cellStyle name="Normal 4 8 3 2 2 2" xfId="16189" xr:uid="{8DD3BDDC-9FA5-4718-8AB9-58059A84F0C9}"/>
    <cellStyle name="Normal 4 8 3 2 3" xfId="11971" xr:uid="{52CC0FAE-0FEB-4686-B1E9-C20FD2E34E04}"/>
    <cellStyle name="Normal 4 8 3 3" xfId="5605" xr:uid="{00000000-0005-0000-0000-0000D1160000}"/>
    <cellStyle name="Normal 4 8 3 3 2" xfId="14044" xr:uid="{1AFD74A2-1F89-401A-AAFC-DA51A692C140}"/>
    <cellStyle name="Normal 4 8 3 4" xfId="9826" xr:uid="{E8FC3E22-ABEF-4D95-A5C4-3483BC7C5243}"/>
    <cellStyle name="Normal 4 8 4" xfId="1710" xr:uid="{00000000-0005-0000-0000-0000D2160000}"/>
    <cellStyle name="Normal 4 8 4 2" xfId="3940" xr:uid="{00000000-0005-0000-0000-0000D3160000}"/>
    <cellStyle name="Normal 4 8 4 2 2" xfId="8163" xr:uid="{00000000-0005-0000-0000-0000D4160000}"/>
    <cellStyle name="Normal 4 8 4 2 2 2" xfId="16602" xr:uid="{EA0C2A97-ACC5-4D01-9D4A-83A53ABA8473}"/>
    <cellStyle name="Normal 4 8 4 2 3" xfId="12384" xr:uid="{9824864B-9FBD-446B-97EF-5F10593AA299}"/>
    <cellStyle name="Normal 4 8 4 3" xfId="6018" xr:uid="{00000000-0005-0000-0000-0000D5160000}"/>
    <cellStyle name="Normal 4 8 4 3 2" xfId="14457" xr:uid="{A0E09363-9821-4130-9209-68E4193E3EB0}"/>
    <cellStyle name="Normal 4 8 4 4" xfId="10239" xr:uid="{414D6E5D-6FD1-41C2-8DE7-ECC9F96AA3A8}"/>
    <cellStyle name="Normal 4 8 5" xfId="2124" xr:uid="{00000000-0005-0000-0000-0000D6160000}"/>
    <cellStyle name="Normal 4 8 5 2" xfId="4353" xr:uid="{00000000-0005-0000-0000-0000D7160000}"/>
    <cellStyle name="Normal 4 8 5 2 2" xfId="8576" xr:uid="{00000000-0005-0000-0000-0000D8160000}"/>
    <cellStyle name="Normal 4 8 5 2 2 2" xfId="17015" xr:uid="{FC4E815C-5CCE-4B97-8E93-385201C7B162}"/>
    <cellStyle name="Normal 4 8 5 2 3" xfId="12797" xr:uid="{AB06F9D9-90DC-44B3-B283-01B136037321}"/>
    <cellStyle name="Normal 4 8 5 3" xfId="6431" xr:uid="{00000000-0005-0000-0000-0000D9160000}"/>
    <cellStyle name="Normal 4 8 5 3 2" xfId="14870" xr:uid="{94A519AA-9668-4275-B5E4-6AF189493948}"/>
    <cellStyle name="Normal 4 8 5 4" xfId="10652" xr:uid="{83D589C4-18A9-4CE9-A1EE-AB0BE44820BF}"/>
    <cellStyle name="Normal 4 8 6" xfId="2560" xr:uid="{00000000-0005-0000-0000-0000DA160000}"/>
    <cellStyle name="Normal 4 8 6 2" xfId="6844" xr:uid="{00000000-0005-0000-0000-0000DB160000}"/>
    <cellStyle name="Normal 4 8 6 2 2" xfId="15283" xr:uid="{CA07D8C2-75D2-4E29-A717-A5CDC04A2365}"/>
    <cellStyle name="Normal 4 8 6 3" xfId="11065" xr:uid="{3FE26CD1-A3F9-4CE8-8736-AB62292E8E4C}"/>
    <cellStyle name="Normal 4 8 7" xfId="4779" xr:uid="{00000000-0005-0000-0000-0000DC160000}"/>
    <cellStyle name="Normal 4 8 7 2" xfId="13218" xr:uid="{A7338EAE-5A58-42B2-ADF6-39F3552C85C7}"/>
    <cellStyle name="Normal 4 8 8" xfId="9000" xr:uid="{4553D837-CC41-4DDE-8D85-64E72C27BF31}"/>
    <cellStyle name="Normal 4 9" xfId="4716" xr:uid="{00000000-0005-0000-0000-0000DD160000}"/>
    <cellStyle name="Normal 4 9 2" xfId="13155" xr:uid="{EA1E61B7-AE8C-430B-9183-78818C2E8A5C}"/>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FC9A457E-016C-4D1F-BFD4-9DD472561A72}"/>
    <cellStyle name="Normal 5 10 2 3" xfId="12385" xr:uid="{1C9A011D-EE23-4DE9-BF71-1E05FB47AA27}"/>
    <cellStyle name="Normal 5 10 3" xfId="6019" xr:uid="{00000000-0005-0000-0000-0000E2160000}"/>
    <cellStyle name="Normal 5 10 3 2" xfId="14458" xr:uid="{BA981438-635A-46FB-B9C9-A525C4B88F74}"/>
    <cellStyle name="Normal 5 10 4" xfId="10240" xr:uid="{396B2F43-87B1-48BE-A102-7AF8B8D1CD7D}"/>
    <cellStyle name="Normal 5 11" xfId="2125" xr:uid="{00000000-0005-0000-0000-0000E3160000}"/>
    <cellStyle name="Normal 5 11 2" xfId="4354" xr:uid="{00000000-0005-0000-0000-0000E4160000}"/>
    <cellStyle name="Normal 5 11 2 2" xfId="8577" xr:uid="{00000000-0005-0000-0000-0000E5160000}"/>
    <cellStyle name="Normal 5 11 2 2 2" xfId="17016" xr:uid="{FF5EC2EE-BD50-4BBB-9844-D0D6BCF68EA8}"/>
    <cellStyle name="Normal 5 11 2 3" xfId="12798" xr:uid="{03B2EDE1-1783-4AEE-92FD-DE963661F563}"/>
    <cellStyle name="Normal 5 11 3" xfId="6432" xr:uid="{00000000-0005-0000-0000-0000E6160000}"/>
    <cellStyle name="Normal 5 11 3 2" xfId="14871" xr:uid="{3B6158C8-1B8A-486E-AA47-9592C9B7B23A}"/>
    <cellStyle name="Normal 5 11 4" xfId="10653" xr:uid="{CC229556-65E0-4DE0-AAEB-B6BB5B1D9066}"/>
    <cellStyle name="Normal 5 12" xfId="2561" xr:uid="{00000000-0005-0000-0000-0000E7160000}"/>
    <cellStyle name="Normal 5 12 2" xfId="6845" xr:uid="{00000000-0005-0000-0000-0000E8160000}"/>
    <cellStyle name="Normal 5 12 2 2" xfId="15284" xr:uid="{EC823B48-0DD3-4B02-8102-E7970C77BD1B}"/>
    <cellStyle name="Normal 5 12 3" xfId="11066" xr:uid="{D6761A2F-730E-4E37-9E14-F59084FD1476}"/>
    <cellStyle name="Normal 5 13" xfId="4780" xr:uid="{00000000-0005-0000-0000-0000E9160000}"/>
    <cellStyle name="Normal 5 13 2" xfId="13219" xr:uid="{8701EE93-572C-407C-9D36-D3B805BACC2D}"/>
    <cellStyle name="Normal 5 14" xfId="9001" xr:uid="{ED698725-3B66-4D8F-9488-31FAB9FACFBE}"/>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9E04C421-4262-435C-A4B8-5AA270F47509}"/>
    <cellStyle name="Normal 5 2 10 2 3" xfId="12799" xr:uid="{BC1527BA-707E-4562-B9F3-0EBCADCE94E3}"/>
    <cellStyle name="Normal 5 2 10 3" xfId="6433" xr:uid="{00000000-0005-0000-0000-0000EE160000}"/>
    <cellStyle name="Normal 5 2 10 3 2" xfId="14872" xr:uid="{1B37A4AD-05ED-4391-8E06-12CEAFFDBE98}"/>
    <cellStyle name="Normal 5 2 10 4" xfId="10654" xr:uid="{95F11336-AE3A-4006-B833-6C2A9958869D}"/>
    <cellStyle name="Normal 5 2 11" xfId="2562" xr:uid="{00000000-0005-0000-0000-0000EF160000}"/>
    <cellStyle name="Normal 5 2 11 2" xfId="6846" xr:uid="{00000000-0005-0000-0000-0000F0160000}"/>
    <cellStyle name="Normal 5 2 11 2 2" xfId="15285" xr:uid="{21B358FD-3B89-4054-86E6-43F3C077B7BD}"/>
    <cellStyle name="Normal 5 2 11 3" xfId="11067" xr:uid="{272735D8-FC15-4DF3-9339-150C081247B8}"/>
    <cellStyle name="Normal 5 2 12" xfId="4781" xr:uid="{00000000-0005-0000-0000-0000F1160000}"/>
    <cellStyle name="Normal 5 2 12 2" xfId="13220" xr:uid="{E04951AC-4B77-43A2-9F6A-235FB5A268D8}"/>
    <cellStyle name="Normal 5 2 13" xfId="9002" xr:uid="{79D6EED0-A00F-41D1-BF48-29C2F40C57B1}"/>
    <cellStyle name="Normal 5 2 2" xfId="408" xr:uid="{00000000-0005-0000-0000-0000F2160000}"/>
    <cellStyle name="Normal 5 2 2 10" xfId="2563" xr:uid="{00000000-0005-0000-0000-0000F3160000}"/>
    <cellStyle name="Normal 5 2 2 10 2" xfId="6847" xr:uid="{00000000-0005-0000-0000-0000F4160000}"/>
    <cellStyle name="Normal 5 2 2 10 2 2" xfId="15286" xr:uid="{C17EFCEB-DB78-4CE8-834D-83004D793B04}"/>
    <cellStyle name="Normal 5 2 2 10 3" xfId="11068" xr:uid="{B6D45A42-C771-4271-AAA2-25B1745632F4}"/>
    <cellStyle name="Normal 5 2 2 11" xfId="4782" xr:uid="{00000000-0005-0000-0000-0000F5160000}"/>
    <cellStyle name="Normal 5 2 2 11 2" xfId="13221" xr:uid="{1DED9D63-C9C8-4B94-94BB-9F219383D8C4}"/>
    <cellStyle name="Normal 5 2 2 12" xfId="9003" xr:uid="{0C86CFFC-B286-4773-A52D-B4DAC4438F7A}"/>
    <cellStyle name="Normal 5 2 2 2" xfId="409" xr:uid="{00000000-0005-0000-0000-0000F6160000}"/>
    <cellStyle name="Normal 5 2 2 2 10" xfId="4783" xr:uid="{00000000-0005-0000-0000-0000F7160000}"/>
    <cellStyle name="Normal 5 2 2 2 10 2" xfId="13222" xr:uid="{0A182297-B841-4E56-BCE6-16229E4BACDC}"/>
    <cellStyle name="Normal 5 2 2 2 11" xfId="9004" xr:uid="{8B2948A5-A0F4-4CCB-B96B-47EB4D62D55A}"/>
    <cellStyle name="Normal 5 2 2 2 2" xfId="410" xr:uid="{00000000-0005-0000-0000-0000F8160000}"/>
    <cellStyle name="Normal 5 2 2 2 2 10" xfId="9005" xr:uid="{6F61F020-5013-46CA-88F7-8C67EDD7414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E9A2D04E-6F84-479D-A3E2-036DAE747496}"/>
    <cellStyle name="Normal 5 2 2 2 2 2 2 2 2 3" xfId="11565" xr:uid="{F2689992-0D68-4573-99C3-79B2B4093346}"/>
    <cellStyle name="Normal 5 2 2 2 2 2 2 2 3" xfId="5199" xr:uid="{00000000-0005-0000-0000-0000FE160000}"/>
    <cellStyle name="Normal 5 2 2 2 2 2 2 2 3 2" xfId="13638" xr:uid="{A3237956-3C0E-4CDE-8727-DEF110B00ED0}"/>
    <cellStyle name="Normal 5 2 2 2 2 2 2 2 4" xfId="9420" xr:uid="{548B8BB6-5125-40A3-9C8F-0474419DBF45}"/>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935FDF56-8E9A-4938-ACFC-4F2FB1D358AE}"/>
    <cellStyle name="Normal 5 2 2 2 2 2 2 3 2 3" xfId="11978" xr:uid="{3D7FBA7C-7D2C-466F-8BA5-B2E6D560F6EC}"/>
    <cellStyle name="Normal 5 2 2 2 2 2 2 3 3" xfId="5612" xr:uid="{00000000-0005-0000-0000-000002170000}"/>
    <cellStyle name="Normal 5 2 2 2 2 2 2 3 3 2" xfId="14051" xr:uid="{E6600DE2-BBEB-457B-A10C-3E13D869CE1F}"/>
    <cellStyle name="Normal 5 2 2 2 2 2 2 3 4" xfId="9833" xr:uid="{3C6D0DBD-FA01-4C86-8A33-897489E7CA19}"/>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2883EC4D-D973-4D25-A8DA-ABFD51586F00}"/>
    <cellStyle name="Normal 5 2 2 2 2 2 2 4 2 3" xfId="12391" xr:uid="{64540378-AC08-4163-AC20-408C56F748C3}"/>
    <cellStyle name="Normal 5 2 2 2 2 2 2 4 3" xfId="6025" xr:uid="{00000000-0005-0000-0000-000006170000}"/>
    <cellStyle name="Normal 5 2 2 2 2 2 2 4 3 2" xfId="14464" xr:uid="{E9A89C03-61F0-455B-A4BA-10EB7738710E}"/>
    <cellStyle name="Normal 5 2 2 2 2 2 2 4 4" xfId="10246" xr:uid="{42C410E8-00C8-4F08-B381-D86ADC7B07DD}"/>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54698661-54C7-43A7-894A-251A0650507E}"/>
    <cellStyle name="Normal 5 2 2 2 2 2 2 5 2 3" xfId="12804" xr:uid="{547EEA9F-5540-4140-91A2-66A48550E0B4}"/>
    <cellStyle name="Normal 5 2 2 2 2 2 2 5 3" xfId="6438" xr:uid="{00000000-0005-0000-0000-00000A170000}"/>
    <cellStyle name="Normal 5 2 2 2 2 2 2 5 3 2" xfId="14877" xr:uid="{765DA601-7C09-4E59-B972-2509EDC5B20A}"/>
    <cellStyle name="Normal 5 2 2 2 2 2 2 5 4" xfId="10659" xr:uid="{34226CB5-A195-454A-A4FD-DFBDB80D4020}"/>
    <cellStyle name="Normal 5 2 2 2 2 2 2 6" xfId="2567" xr:uid="{00000000-0005-0000-0000-00000B170000}"/>
    <cellStyle name="Normal 5 2 2 2 2 2 2 6 2" xfId="6851" xr:uid="{00000000-0005-0000-0000-00000C170000}"/>
    <cellStyle name="Normal 5 2 2 2 2 2 2 6 2 2" xfId="15290" xr:uid="{4FD36D42-A34F-407F-A662-942E91E3EF77}"/>
    <cellStyle name="Normal 5 2 2 2 2 2 2 6 3" xfId="11072" xr:uid="{FEB180EE-BC23-4601-8FDE-4882394233C7}"/>
    <cellStyle name="Normal 5 2 2 2 2 2 2 7" xfId="4786" xr:uid="{00000000-0005-0000-0000-00000D170000}"/>
    <cellStyle name="Normal 5 2 2 2 2 2 2 7 2" xfId="13225" xr:uid="{ECBB3ECC-45F2-46B8-811C-6A8DF79A8EAA}"/>
    <cellStyle name="Normal 5 2 2 2 2 2 2 8" xfId="9007" xr:uid="{1A815824-7404-44C9-A8E7-ED69DCF5B021}"/>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58075017-DF8C-40D0-A82B-BB5AE598C98C}"/>
    <cellStyle name="Normal 5 2 2 2 2 2 3 2 3" xfId="11564" xr:uid="{9FAEC444-1048-4E10-B20C-0165B1A72383}"/>
    <cellStyle name="Normal 5 2 2 2 2 2 3 3" xfId="5198" xr:uid="{00000000-0005-0000-0000-000011170000}"/>
    <cellStyle name="Normal 5 2 2 2 2 2 3 3 2" xfId="13637" xr:uid="{D8E5FE89-640B-4108-8307-7991E309615B}"/>
    <cellStyle name="Normal 5 2 2 2 2 2 3 4" xfId="9419" xr:uid="{938E1CE7-1FD6-4DFC-B8E9-066451B41242}"/>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889A3A3C-30EA-4754-8BF7-4013D62D9DE5}"/>
    <cellStyle name="Normal 5 2 2 2 2 2 4 2 3" xfId="11977" xr:uid="{DC91D528-CAA8-4D77-A484-DDC856044F9D}"/>
    <cellStyle name="Normal 5 2 2 2 2 2 4 3" xfId="5611" xr:uid="{00000000-0005-0000-0000-000015170000}"/>
    <cellStyle name="Normal 5 2 2 2 2 2 4 3 2" xfId="14050" xr:uid="{834607E9-B732-4084-87E2-E9DF2FAE378B}"/>
    <cellStyle name="Normal 5 2 2 2 2 2 4 4" xfId="9832" xr:uid="{1CCF8030-0587-47CE-B462-833D3A0179E4}"/>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B0FFD089-F1A3-469E-872D-AF67ADB3F746}"/>
    <cellStyle name="Normal 5 2 2 2 2 2 5 2 3" xfId="12390" xr:uid="{098A7176-0C80-4821-AF25-0AE76A5B7759}"/>
    <cellStyle name="Normal 5 2 2 2 2 2 5 3" xfId="6024" xr:uid="{00000000-0005-0000-0000-000019170000}"/>
    <cellStyle name="Normal 5 2 2 2 2 2 5 3 2" xfId="14463" xr:uid="{8506D5D4-8324-4DEF-9172-8E70D66EB0E4}"/>
    <cellStyle name="Normal 5 2 2 2 2 2 5 4" xfId="10245" xr:uid="{AE059756-03A8-4645-867A-E6C9FEC433C6}"/>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338318E0-106E-4227-94B4-6D0F76FF968E}"/>
    <cellStyle name="Normal 5 2 2 2 2 2 6 2 3" xfId="12803" xr:uid="{C85D32F2-A41B-4788-8904-6A6470B1D26D}"/>
    <cellStyle name="Normal 5 2 2 2 2 2 6 3" xfId="6437" xr:uid="{00000000-0005-0000-0000-00001D170000}"/>
    <cellStyle name="Normal 5 2 2 2 2 2 6 3 2" xfId="14876" xr:uid="{47CC02CA-B44C-4782-927E-4E4B8CE9EF96}"/>
    <cellStyle name="Normal 5 2 2 2 2 2 6 4" xfId="10658" xr:uid="{6FCC0B76-445B-4469-B89F-FEACAAF0713B}"/>
    <cellStyle name="Normal 5 2 2 2 2 2 7" xfId="2566" xr:uid="{00000000-0005-0000-0000-00001E170000}"/>
    <cellStyle name="Normal 5 2 2 2 2 2 7 2" xfId="6850" xr:uid="{00000000-0005-0000-0000-00001F170000}"/>
    <cellStyle name="Normal 5 2 2 2 2 2 7 2 2" xfId="15289" xr:uid="{0ABB3B8E-8386-4A3E-AE98-05276122084B}"/>
    <cellStyle name="Normal 5 2 2 2 2 2 7 3" xfId="11071" xr:uid="{0D8952B8-B4BF-4056-ABD6-ABD8E0E96D3A}"/>
    <cellStyle name="Normal 5 2 2 2 2 2 8" xfId="4785" xr:uid="{00000000-0005-0000-0000-000020170000}"/>
    <cellStyle name="Normal 5 2 2 2 2 2 8 2" xfId="13224" xr:uid="{4122F09C-70E8-4591-A53B-B67C79D3FF0F}"/>
    <cellStyle name="Normal 5 2 2 2 2 2 9" xfId="9006" xr:uid="{04343283-015B-4B0A-A9D1-3E7DEE7C599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8A751A42-B5EF-4CD6-9599-08E73BABBE07}"/>
    <cellStyle name="Normal 5 2 2 2 2 3 2 2 3" xfId="11566" xr:uid="{27D3CB1D-0101-4937-B25E-72B315258BFF}"/>
    <cellStyle name="Normal 5 2 2 2 2 3 2 3" xfId="5200" xr:uid="{00000000-0005-0000-0000-000025170000}"/>
    <cellStyle name="Normal 5 2 2 2 2 3 2 3 2" xfId="13639" xr:uid="{8A43B9E0-795B-4AE2-882A-D733AEA6AE8B}"/>
    <cellStyle name="Normal 5 2 2 2 2 3 2 4" xfId="9421" xr:uid="{C7C3B783-A788-47EC-A182-901C1F9FDC64}"/>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7770E27D-EEF3-4C6C-8021-D8100F34F9DA}"/>
    <cellStyle name="Normal 5 2 2 2 2 3 3 2 3" xfId="11979" xr:uid="{19530455-56CF-4C0B-A494-410E955AEDEA}"/>
    <cellStyle name="Normal 5 2 2 2 2 3 3 3" xfId="5613" xr:uid="{00000000-0005-0000-0000-000029170000}"/>
    <cellStyle name="Normal 5 2 2 2 2 3 3 3 2" xfId="14052" xr:uid="{E1A7FEC4-3A3D-4FF1-BC2B-88081F20A7CB}"/>
    <cellStyle name="Normal 5 2 2 2 2 3 3 4" xfId="9834" xr:uid="{EE8B835E-F1A0-4107-88F0-4F025DFE85DA}"/>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6A2DE2F9-3EFC-4BF0-A992-D7B242B8C077}"/>
    <cellStyle name="Normal 5 2 2 2 2 3 4 2 3" xfId="12392" xr:uid="{69E9A99B-92A8-49B6-9CCA-5889C097CCA2}"/>
    <cellStyle name="Normal 5 2 2 2 2 3 4 3" xfId="6026" xr:uid="{00000000-0005-0000-0000-00002D170000}"/>
    <cellStyle name="Normal 5 2 2 2 2 3 4 3 2" xfId="14465" xr:uid="{70CF22FF-8C44-4B02-BF1B-CF9B5BB3D5E8}"/>
    <cellStyle name="Normal 5 2 2 2 2 3 4 4" xfId="10247" xr:uid="{A62933D0-54B8-4407-96FE-6BC49ECA890D}"/>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7F57545A-0364-4A89-8C5D-181D87982783}"/>
    <cellStyle name="Normal 5 2 2 2 2 3 5 2 3" xfId="12805" xr:uid="{622B0173-1F07-48F8-8DBB-69171FA1DF9A}"/>
    <cellStyle name="Normal 5 2 2 2 2 3 5 3" xfId="6439" xr:uid="{00000000-0005-0000-0000-000031170000}"/>
    <cellStyle name="Normal 5 2 2 2 2 3 5 3 2" xfId="14878" xr:uid="{109D50A1-6D0C-4443-8101-23A540BE2D81}"/>
    <cellStyle name="Normal 5 2 2 2 2 3 5 4" xfId="10660" xr:uid="{8954D285-031C-4883-923C-8C812B463F96}"/>
    <cellStyle name="Normal 5 2 2 2 2 3 6" xfId="2568" xr:uid="{00000000-0005-0000-0000-000032170000}"/>
    <cellStyle name="Normal 5 2 2 2 2 3 6 2" xfId="6852" xr:uid="{00000000-0005-0000-0000-000033170000}"/>
    <cellStyle name="Normal 5 2 2 2 2 3 6 2 2" xfId="15291" xr:uid="{A4FAB462-EAC0-4A99-894A-332A81919D6D}"/>
    <cellStyle name="Normal 5 2 2 2 2 3 6 3" xfId="11073" xr:uid="{3A1CB1BA-15F7-459D-A2E1-DAA73CB1EFB6}"/>
    <cellStyle name="Normal 5 2 2 2 2 3 7" xfId="4787" xr:uid="{00000000-0005-0000-0000-000034170000}"/>
    <cellStyle name="Normal 5 2 2 2 2 3 7 2" xfId="13226" xr:uid="{47AA39A6-D19B-4C1C-913B-66D2CE0E371F}"/>
    <cellStyle name="Normal 5 2 2 2 2 3 8" xfId="9008" xr:uid="{3D68204A-BFA6-437C-8758-8D668B46D445}"/>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C37974C8-E261-44B2-BFC9-13F1C9A7CD16}"/>
    <cellStyle name="Normal 5 2 2 2 2 4 2 3" xfId="11563" xr:uid="{BCE52CA6-3063-475E-9883-F838B3C1F417}"/>
    <cellStyle name="Normal 5 2 2 2 2 4 3" xfId="5197" xr:uid="{00000000-0005-0000-0000-000038170000}"/>
    <cellStyle name="Normal 5 2 2 2 2 4 3 2" xfId="13636" xr:uid="{A58D611B-35DA-4D86-B296-911762227FD6}"/>
    <cellStyle name="Normal 5 2 2 2 2 4 4" xfId="9418" xr:uid="{31B6293C-C594-45E2-989E-D8A8BC13F556}"/>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D701B498-A27B-4E75-9402-62493FDFB40D}"/>
    <cellStyle name="Normal 5 2 2 2 2 5 2 3" xfId="11976" xr:uid="{4FD2A1AB-08C5-451B-8D96-E15F0E6A6094}"/>
    <cellStyle name="Normal 5 2 2 2 2 5 3" xfId="5610" xr:uid="{00000000-0005-0000-0000-00003C170000}"/>
    <cellStyle name="Normal 5 2 2 2 2 5 3 2" xfId="14049" xr:uid="{9862DD86-C456-46AC-A782-4438423962C4}"/>
    <cellStyle name="Normal 5 2 2 2 2 5 4" xfId="9831" xr:uid="{1A713111-6BF8-4C90-8142-060D1B99427F}"/>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58060094-6C2F-40D1-AF67-E6CFF8982A43}"/>
    <cellStyle name="Normal 5 2 2 2 2 6 2 3" xfId="12389" xr:uid="{84DA0218-8483-492D-8996-036BD94B14CA}"/>
    <cellStyle name="Normal 5 2 2 2 2 6 3" xfId="6023" xr:uid="{00000000-0005-0000-0000-000040170000}"/>
    <cellStyle name="Normal 5 2 2 2 2 6 3 2" xfId="14462" xr:uid="{DC5E7ED6-59B6-447F-9467-A57371CA8F1C}"/>
    <cellStyle name="Normal 5 2 2 2 2 6 4" xfId="10244" xr:uid="{95390E46-DEB2-4842-8451-3915757258A2}"/>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6EA0672D-C907-4B8D-B18E-64DE0DD86BC9}"/>
    <cellStyle name="Normal 5 2 2 2 2 7 2 3" xfId="12802" xr:uid="{FA826765-2EE2-4ADC-B506-1F874E1FEE05}"/>
    <cellStyle name="Normal 5 2 2 2 2 7 3" xfId="6436" xr:uid="{00000000-0005-0000-0000-000044170000}"/>
    <cellStyle name="Normal 5 2 2 2 2 7 3 2" xfId="14875" xr:uid="{50764E17-7253-4464-A72C-91416AE9D20F}"/>
    <cellStyle name="Normal 5 2 2 2 2 7 4" xfId="10657" xr:uid="{A0864839-5606-4ACC-BB31-BCD646C679FA}"/>
    <cellStyle name="Normal 5 2 2 2 2 8" xfId="2565" xr:uid="{00000000-0005-0000-0000-000045170000}"/>
    <cellStyle name="Normal 5 2 2 2 2 8 2" xfId="6849" xr:uid="{00000000-0005-0000-0000-000046170000}"/>
    <cellStyle name="Normal 5 2 2 2 2 8 2 2" xfId="15288" xr:uid="{6BF1FE77-CDF3-444E-808B-18585563118A}"/>
    <cellStyle name="Normal 5 2 2 2 2 8 3" xfId="11070" xr:uid="{08C8102C-EEA9-48B1-8668-F75BC2CE93E5}"/>
    <cellStyle name="Normal 5 2 2 2 2 9" xfId="4784" xr:uid="{00000000-0005-0000-0000-000047170000}"/>
    <cellStyle name="Normal 5 2 2 2 2 9 2" xfId="13223" xr:uid="{0E941A43-7A72-4DA8-BCAE-C815588730A6}"/>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18A68B3A-BB45-4A50-92B1-4541B600957A}"/>
    <cellStyle name="Normal 5 2 2 2 3 2 2 2 3" xfId="11568" xr:uid="{8F0BBB83-73AA-47E4-A586-8D10812B44E2}"/>
    <cellStyle name="Normal 5 2 2 2 3 2 2 3" xfId="5202" xr:uid="{00000000-0005-0000-0000-00004D170000}"/>
    <cellStyle name="Normal 5 2 2 2 3 2 2 3 2" xfId="13641" xr:uid="{2E1BC991-7850-4AA4-9275-6A638F2DBC06}"/>
    <cellStyle name="Normal 5 2 2 2 3 2 2 4" xfId="9423" xr:uid="{5F5556C6-8624-4723-8B68-5367D4B2DFE2}"/>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D107249B-F6F8-43C9-80B8-EE09B6CF3663}"/>
    <cellStyle name="Normal 5 2 2 2 3 2 3 2 3" xfId="11981" xr:uid="{175CDF3B-DACF-4D5F-A559-8435DCBACFF2}"/>
    <cellStyle name="Normal 5 2 2 2 3 2 3 3" xfId="5615" xr:uid="{00000000-0005-0000-0000-000051170000}"/>
    <cellStyle name="Normal 5 2 2 2 3 2 3 3 2" xfId="14054" xr:uid="{371822B7-7D0E-44B9-93FF-242B9965417B}"/>
    <cellStyle name="Normal 5 2 2 2 3 2 3 4" xfId="9836" xr:uid="{267BE70B-049F-42F5-8383-DD9022259387}"/>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3EDDB48D-8AFA-462C-AEB9-C2943DD66679}"/>
    <cellStyle name="Normal 5 2 2 2 3 2 4 2 3" xfId="12394" xr:uid="{6F3C3388-CCA3-409B-A142-8CAE63DA5E55}"/>
    <cellStyle name="Normal 5 2 2 2 3 2 4 3" xfId="6028" xr:uid="{00000000-0005-0000-0000-000055170000}"/>
    <cellStyle name="Normal 5 2 2 2 3 2 4 3 2" xfId="14467" xr:uid="{3C031FCB-022B-441F-840B-73705A76E581}"/>
    <cellStyle name="Normal 5 2 2 2 3 2 4 4" xfId="10249" xr:uid="{6613C2F8-4E6B-4EE2-A7B8-7E90DF428059}"/>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D2DAFA38-3E5D-4014-9B8C-AC1322E559BB}"/>
    <cellStyle name="Normal 5 2 2 2 3 2 5 2 3" xfId="12807" xr:uid="{DB53B053-FBFB-4605-AA90-68661D9C9B60}"/>
    <cellStyle name="Normal 5 2 2 2 3 2 5 3" xfId="6441" xr:uid="{00000000-0005-0000-0000-000059170000}"/>
    <cellStyle name="Normal 5 2 2 2 3 2 5 3 2" xfId="14880" xr:uid="{F9204134-65A5-4898-A6CB-AC7BEDC6D975}"/>
    <cellStyle name="Normal 5 2 2 2 3 2 5 4" xfId="10662" xr:uid="{7AE4A5F6-3CBA-4113-A887-21DBF6D38926}"/>
    <cellStyle name="Normal 5 2 2 2 3 2 6" xfId="2570" xr:uid="{00000000-0005-0000-0000-00005A170000}"/>
    <cellStyle name="Normal 5 2 2 2 3 2 6 2" xfId="6854" xr:uid="{00000000-0005-0000-0000-00005B170000}"/>
    <cellStyle name="Normal 5 2 2 2 3 2 6 2 2" xfId="15293" xr:uid="{47E5323F-9FD1-4B4B-B58E-5D0C97F15EDB}"/>
    <cellStyle name="Normal 5 2 2 2 3 2 6 3" xfId="11075" xr:uid="{0C774513-679F-4512-8B70-1EE52792EB63}"/>
    <cellStyle name="Normal 5 2 2 2 3 2 7" xfId="4789" xr:uid="{00000000-0005-0000-0000-00005C170000}"/>
    <cellStyle name="Normal 5 2 2 2 3 2 7 2" xfId="13228" xr:uid="{1F044BAA-4FA2-43EC-B713-624ABC7D1B61}"/>
    <cellStyle name="Normal 5 2 2 2 3 2 8" xfId="9010" xr:uid="{1091F673-A8A5-4A07-9AC3-ABC9A7F85614}"/>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6DC3ECD8-4B8B-4538-A1D1-9D9826AB8B7D}"/>
    <cellStyle name="Normal 5 2 2 2 3 3 2 3" xfId="11567" xr:uid="{47D50DFE-149B-4D0B-BBDF-3417CC064F59}"/>
    <cellStyle name="Normal 5 2 2 2 3 3 3" xfId="5201" xr:uid="{00000000-0005-0000-0000-000060170000}"/>
    <cellStyle name="Normal 5 2 2 2 3 3 3 2" xfId="13640" xr:uid="{90AD3EFC-2698-42B2-8BFA-68D34AD1896B}"/>
    <cellStyle name="Normal 5 2 2 2 3 3 4" xfId="9422" xr:uid="{619EF443-1F5D-4F49-8247-055B9F8173F1}"/>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DE7716C1-EF70-4D1E-A6DF-FECE615654B6}"/>
    <cellStyle name="Normal 5 2 2 2 3 4 2 3" xfId="11980" xr:uid="{36141E43-2485-41D0-8FFA-874A11972932}"/>
    <cellStyle name="Normal 5 2 2 2 3 4 3" xfId="5614" xr:uid="{00000000-0005-0000-0000-000064170000}"/>
    <cellStyle name="Normal 5 2 2 2 3 4 3 2" xfId="14053" xr:uid="{1C7BF4C0-1943-4967-AEBD-F516B01C6068}"/>
    <cellStyle name="Normal 5 2 2 2 3 4 4" xfId="9835" xr:uid="{D33B38A5-6880-4FC1-A7A7-AACCEF7429B2}"/>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463563E3-B999-4049-B71D-153B20FDD10F}"/>
    <cellStyle name="Normal 5 2 2 2 3 5 2 3" xfId="12393" xr:uid="{970A4E9A-0D31-427F-A5ED-DF5ACC420100}"/>
    <cellStyle name="Normal 5 2 2 2 3 5 3" xfId="6027" xr:uid="{00000000-0005-0000-0000-000068170000}"/>
    <cellStyle name="Normal 5 2 2 2 3 5 3 2" xfId="14466" xr:uid="{62290652-49A7-448C-BE2B-E4D0F49E2DCE}"/>
    <cellStyle name="Normal 5 2 2 2 3 5 4" xfId="10248" xr:uid="{70E7CA9C-5581-404D-9F3A-49CE33E24378}"/>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890EFD10-A11C-4207-8BBB-4596F574A546}"/>
    <cellStyle name="Normal 5 2 2 2 3 6 2 3" xfId="12806" xr:uid="{C9782BEF-274E-41C5-9E12-ADD4F15A9FAD}"/>
    <cellStyle name="Normal 5 2 2 2 3 6 3" xfId="6440" xr:uid="{00000000-0005-0000-0000-00006C170000}"/>
    <cellStyle name="Normal 5 2 2 2 3 6 3 2" xfId="14879" xr:uid="{35AC953D-83D2-435C-9263-EDBE043C2906}"/>
    <cellStyle name="Normal 5 2 2 2 3 6 4" xfId="10661" xr:uid="{C6118B9A-D918-4B95-8469-DA8DFB6110EC}"/>
    <cellStyle name="Normal 5 2 2 2 3 7" xfId="2569" xr:uid="{00000000-0005-0000-0000-00006D170000}"/>
    <cellStyle name="Normal 5 2 2 2 3 7 2" xfId="6853" xr:uid="{00000000-0005-0000-0000-00006E170000}"/>
    <cellStyle name="Normal 5 2 2 2 3 7 2 2" xfId="15292" xr:uid="{814159D5-4C26-4B4F-985A-10B4528B9CED}"/>
    <cellStyle name="Normal 5 2 2 2 3 7 3" xfId="11074" xr:uid="{2B8C70CB-EEE1-40D9-9481-3A80D181C282}"/>
    <cellStyle name="Normal 5 2 2 2 3 8" xfId="4788" xr:uid="{00000000-0005-0000-0000-00006F170000}"/>
    <cellStyle name="Normal 5 2 2 2 3 8 2" xfId="13227" xr:uid="{E5E9BB3F-BDEA-4A5F-83B0-44A52B766CCC}"/>
    <cellStyle name="Normal 5 2 2 2 3 9" xfId="9009" xr:uid="{499E6ACE-3081-48D0-B664-A60997B89E4B}"/>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A0C0B771-721F-4A39-9D43-D4538A3672BE}"/>
    <cellStyle name="Normal 5 2 2 2 4 2 2 3" xfId="11569" xr:uid="{1F8A4030-1035-4EBE-BFAF-30C671907CFD}"/>
    <cellStyle name="Normal 5 2 2 2 4 2 3" xfId="5203" xr:uid="{00000000-0005-0000-0000-000074170000}"/>
    <cellStyle name="Normal 5 2 2 2 4 2 3 2" xfId="13642" xr:uid="{6F1674E7-D40C-4000-99D7-5459D2792C5B}"/>
    <cellStyle name="Normal 5 2 2 2 4 2 4" xfId="9424" xr:uid="{69AF408E-6402-4C02-AFFA-AD0BBDEECEBE}"/>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6452507B-8FC8-4335-B4FB-407F5C3C5E32}"/>
    <cellStyle name="Normal 5 2 2 2 4 3 2 3" xfId="11982" xr:uid="{1015175C-DCB1-4152-832D-F6D01343262E}"/>
    <cellStyle name="Normal 5 2 2 2 4 3 3" xfId="5616" xr:uid="{00000000-0005-0000-0000-000078170000}"/>
    <cellStyle name="Normal 5 2 2 2 4 3 3 2" xfId="14055" xr:uid="{E7540CE4-09E0-48B3-BA1D-3239E67BC575}"/>
    <cellStyle name="Normal 5 2 2 2 4 3 4" xfId="9837" xr:uid="{21B010FE-4E39-4C4A-BA6D-08E3F29EAA7F}"/>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3EF6B7AD-DDA7-4F1F-A31B-C78397949457}"/>
    <cellStyle name="Normal 5 2 2 2 4 4 2 3" xfId="12395" xr:uid="{28165289-73DC-4367-BBD1-BE68213156A1}"/>
    <cellStyle name="Normal 5 2 2 2 4 4 3" xfId="6029" xr:uid="{00000000-0005-0000-0000-00007C170000}"/>
    <cellStyle name="Normal 5 2 2 2 4 4 3 2" xfId="14468" xr:uid="{F61BB5D4-6FBB-4BDF-B398-28B3B0127CD9}"/>
    <cellStyle name="Normal 5 2 2 2 4 4 4" xfId="10250" xr:uid="{DDAF8888-D41E-427B-BDC9-28114A037FAF}"/>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63B133A7-B051-4F6C-A174-89796DC8C3C7}"/>
    <cellStyle name="Normal 5 2 2 2 4 5 2 3" xfId="12808" xr:uid="{6C884B07-8EC6-4C33-A100-44974562D569}"/>
    <cellStyle name="Normal 5 2 2 2 4 5 3" xfId="6442" xr:uid="{00000000-0005-0000-0000-000080170000}"/>
    <cellStyle name="Normal 5 2 2 2 4 5 3 2" xfId="14881" xr:uid="{D460E144-12E3-44DF-AEEF-C7242AB13575}"/>
    <cellStyle name="Normal 5 2 2 2 4 5 4" xfId="10663" xr:uid="{8D517D7D-4FCD-4D0F-A68F-3004D1344460}"/>
    <cellStyle name="Normal 5 2 2 2 4 6" xfId="2571" xr:uid="{00000000-0005-0000-0000-000081170000}"/>
    <cellStyle name="Normal 5 2 2 2 4 6 2" xfId="6855" xr:uid="{00000000-0005-0000-0000-000082170000}"/>
    <cellStyle name="Normal 5 2 2 2 4 6 2 2" xfId="15294" xr:uid="{BD2566B0-A6A9-4E4B-AD24-0DD0852336C3}"/>
    <cellStyle name="Normal 5 2 2 2 4 6 3" xfId="11076" xr:uid="{02D148DE-77E7-43AD-A3B7-6C86418E7C31}"/>
    <cellStyle name="Normal 5 2 2 2 4 7" xfId="4790" xr:uid="{00000000-0005-0000-0000-000083170000}"/>
    <cellStyle name="Normal 5 2 2 2 4 7 2" xfId="13229" xr:uid="{C25F583B-BDA0-455E-B6ED-20533A197321}"/>
    <cellStyle name="Normal 5 2 2 2 4 8" xfId="9011" xr:uid="{7EFAE861-C236-4950-89FA-34A515D56FF4}"/>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4D709CB3-12CD-4FD1-B8F7-746BE6E5E567}"/>
    <cellStyle name="Normal 5 2 2 2 5 2 3" xfId="11562" xr:uid="{7CDDBC9D-DF3E-4DA4-A0C7-451F3AE14922}"/>
    <cellStyle name="Normal 5 2 2 2 5 3" xfId="5196" xr:uid="{00000000-0005-0000-0000-000087170000}"/>
    <cellStyle name="Normal 5 2 2 2 5 3 2" xfId="13635" xr:uid="{848F5B4D-76B4-4FC0-A2A1-32E537C755B1}"/>
    <cellStyle name="Normal 5 2 2 2 5 4" xfId="9417" xr:uid="{E568070D-8A39-41B6-83EF-1254EBB63077}"/>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6B5C9D3D-D3D4-45EF-85E5-084F7B8C9FF7}"/>
    <cellStyle name="Normal 5 2 2 2 6 2 3" xfId="11975" xr:uid="{9462B006-790B-48E4-B01E-92854810F7D3}"/>
    <cellStyle name="Normal 5 2 2 2 6 3" xfId="5609" xr:uid="{00000000-0005-0000-0000-00008B170000}"/>
    <cellStyle name="Normal 5 2 2 2 6 3 2" xfId="14048" xr:uid="{DBBF812B-8EF8-4B2A-81CA-64BFC28F701E}"/>
    <cellStyle name="Normal 5 2 2 2 6 4" xfId="9830" xr:uid="{4B2161BB-0C20-4D26-AD2D-4BCA96B16EB7}"/>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E0D1FBC8-7842-4B9F-A6A3-192CD80000A1}"/>
    <cellStyle name="Normal 5 2 2 2 7 2 3" xfId="12388" xr:uid="{A83C83DA-76AE-44A8-8E33-6180DC8501AC}"/>
    <cellStyle name="Normal 5 2 2 2 7 3" xfId="6022" xr:uid="{00000000-0005-0000-0000-00008F170000}"/>
    <cellStyle name="Normal 5 2 2 2 7 3 2" xfId="14461" xr:uid="{A920E092-6447-4281-8EE3-8E64B5D5486E}"/>
    <cellStyle name="Normal 5 2 2 2 7 4" xfId="10243" xr:uid="{4106A9BA-6BC0-4DCE-BE97-692DE1C19F09}"/>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1956DC0D-A600-46EC-A10C-1C9CC8779E62}"/>
    <cellStyle name="Normal 5 2 2 2 8 2 3" xfId="12801" xr:uid="{9FDCD78F-3863-4A8D-81D0-F54DA7BB2B90}"/>
    <cellStyle name="Normal 5 2 2 2 8 3" xfId="6435" xr:uid="{00000000-0005-0000-0000-000093170000}"/>
    <cellStyle name="Normal 5 2 2 2 8 3 2" xfId="14874" xr:uid="{B8749561-E5D7-443D-BF18-85DF82C253C0}"/>
    <cellStyle name="Normal 5 2 2 2 8 4" xfId="10656" xr:uid="{785CAFD1-BDEB-4718-925E-D23A02D6949E}"/>
    <cellStyle name="Normal 5 2 2 2 9" xfId="2564" xr:uid="{00000000-0005-0000-0000-000094170000}"/>
    <cellStyle name="Normal 5 2 2 2 9 2" xfId="6848" xr:uid="{00000000-0005-0000-0000-000095170000}"/>
    <cellStyle name="Normal 5 2 2 2 9 2 2" xfId="15287" xr:uid="{1D4E7C9D-2400-4F94-B72E-B4F5B982527B}"/>
    <cellStyle name="Normal 5 2 2 2 9 3" xfId="11069" xr:uid="{BE5E9293-E655-4521-9684-E46A8CE786B2}"/>
    <cellStyle name="Normal 5 2 2 3" xfId="417" xr:uid="{00000000-0005-0000-0000-000096170000}"/>
    <cellStyle name="Normal 5 2 2 3 10" xfId="9012" xr:uid="{CCB04466-BC84-44B7-A8E3-DEA12A948798}"/>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E3433D71-9456-4734-9408-83619059B5D1}"/>
    <cellStyle name="Normal 5 2 2 3 2 2 2 2 3" xfId="11572" xr:uid="{9A3186FA-B089-4EE9-A400-103135A66146}"/>
    <cellStyle name="Normal 5 2 2 3 2 2 2 3" xfId="5206" xr:uid="{00000000-0005-0000-0000-00009C170000}"/>
    <cellStyle name="Normal 5 2 2 3 2 2 2 3 2" xfId="13645" xr:uid="{65BDD705-6B72-4431-9343-7D89D339B3DA}"/>
    <cellStyle name="Normal 5 2 2 3 2 2 2 4" xfId="9427" xr:uid="{399BA528-4A24-4A1A-8206-B850945C55C4}"/>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39594564-9F18-48C3-8F1E-0B766298F811}"/>
    <cellStyle name="Normal 5 2 2 3 2 2 3 2 3" xfId="11985" xr:uid="{5322F508-208A-47B7-9E82-41AA8B02FB48}"/>
    <cellStyle name="Normal 5 2 2 3 2 2 3 3" xfId="5619" xr:uid="{00000000-0005-0000-0000-0000A0170000}"/>
    <cellStyle name="Normal 5 2 2 3 2 2 3 3 2" xfId="14058" xr:uid="{93ABCD6D-C307-4E31-B26F-D7C3D6A2EC5A}"/>
    <cellStyle name="Normal 5 2 2 3 2 2 3 4" xfId="9840" xr:uid="{549F5FBA-A1EA-4EF7-9686-6DD6CED0EB43}"/>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3602A5B7-1E23-4EF9-BBAA-C8EF7FFA6AA0}"/>
    <cellStyle name="Normal 5 2 2 3 2 2 4 2 3" xfId="12398" xr:uid="{4566DD91-1F49-4807-BFC1-5F02AE5743D1}"/>
    <cellStyle name="Normal 5 2 2 3 2 2 4 3" xfId="6032" xr:uid="{00000000-0005-0000-0000-0000A4170000}"/>
    <cellStyle name="Normal 5 2 2 3 2 2 4 3 2" xfId="14471" xr:uid="{9294CDD4-D85B-43B3-ABD6-89D3C926D529}"/>
    <cellStyle name="Normal 5 2 2 3 2 2 4 4" xfId="10253" xr:uid="{1EFF7113-E6A5-44A1-BE67-7E8B2361B49E}"/>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52532BB2-8CEE-4544-A18C-32090620DD73}"/>
    <cellStyle name="Normal 5 2 2 3 2 2 5 2 3" xfId="12811" xr:uid="{86AA01DC-16A2-46A9-85DF-7A9BA32D0AEF}"/>
    <cellStyle name="Normal 5 2 2 3 2 2 5 3" xfId="6445" xr:uid="{00000000-0005-0000-0000-0000A8170000}"/>
    <cellStyle name="Normal 5 2 2 3 2 2 5 3 2" xfId="14884" xr:uid="{31022238-3ADC-4F02-833D-63C92A3D4336}"/>
    <cellStyle name="Normal 5 2 2 3 2 2 5 4" xfId="10666" xr:uid="{732640A2-C1F2-4048-9891-56C4F6576FAE}"/>
    <cellStyle name="Normal 5 2 2 3 2 2 6" xfId="2574" xr:uid="{00000000-0005-0000-0000-0000A9170000}"/>
    <cellStyle name="Normal 5 2 2 3 2 2 6 2" xfId="6858" xr:uid="{00000000-0005-0000-0000-0000AA170000}"/>
    <cellStyle name="Normal 5 2 2 3 2 2 6 2 2" xfId="15297" xr:uid="{8E1112BB-2575-445F-A6FC-19BEA2BE9B4F}"/>
    <cellStyle name="Normal 5 2 2 3 2 2 6 3" xfId="11079" xr:uid="{D7CB2C41-ABE6-448E-B4EB-448B5BD36CF4}"/>
    <cellStyle name="Normal 5 2 2 3 2 2 7" xfId="4793" xr:uid="{00000000-0005-0000-0000-0000AB170000}"/>
    <cellStyle name="Normal 5 2 2 3 2 2 7 2" xfId="13232" xr:uid="{50948A2C-2444-4DDC-B904-CF410A35BA1C}"/>
    <cellStyle name="Normal 5 2 2 3 2 2 8" xfId="9014" xr:uid="{114E0530-34D9-4378-A23D-FE5A557FBBD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70CDBDC6-9823-4EF1-8E79-CD64EEA1AE40}"/>
    <cellStyle name="Normal 5 2 2 3 2 3 2 3" xfId="11571" xr:uid="{4198577E-C366-4383-8E61-615BBE692256}"/>
    <cellStyle name="Normal 5 2 2 3 2 3 3" xfId="5205" xr:uid="{00000000-0005-0000-0000-0000AF170000}"/>
    <cellStyle name="Normal 5 2 2 3 2 3 3 2" xfId="13644" xr:uid="{4E046C0B-356D-4008-86CA-B304478D4C5C}"/>
    <cellStyle name="Normal 5 2 2 3 2 3 4" xfId="9426" xr:uid="{B2C91DEC-1BD9-48A4-BA6A-C21D536A2874}"/>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DEE60C23-36EB-4D56-AC72-F4EAFA4887A7}"/>
    <cellStyle name="Normal 5 2 2 3 2 4 2 3" xfId="11984" xr:uid="{E29ED520-2670-469C-AD91-2DB1BC36B3E3}"/>
    <cellStyle name="Normal 5 2 2 3 2 4 3" xfId="5618" xr:uid="{00000000-0005-0000-0000-0000B3170000}"/>
    <cellStyle name="Normal 5 2 2 3 2 4 3 2" xfId="14057" xr:uid="{E04B6F13-AE29-4102-8D31-55A602FE10BA}"/>
    <cellStyle name="Normal 5 2 2 3 2 4 4" xfId="9839" xr:uid="{254C799B-9522-47FA-8C8B-9C899648AA3A}"/>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A22B951D-CB5C-489C-BDE2-915B6D946218}"/>
    <cellStyle name="Normal 5 2 2 3 2 5 2 3" xfId="12397" xr:uid="{ED018EE6-1FEA-45BF-8355-0965B08AF60C}"/>
    <cellStyle name="Normal 5 2 2 3 2 5 3" xfId="6031" xr:uid="{00000000-0005-0000-0000-0000B7170000}"/>
    <cellStyle name="Normal 5 2 2 3 2 5 3 2" xfId="14470" xr:uid="{D98ACE21-0421-4F04-ACD9-1C112927EEC2}"/>
    <cellStyle name="Normal 5 2 2 3 2 5 4" xfId="10252" xr:uid="{D729A61E-F71B-456C-B6D1-0986862E36D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26B9F609-CDBD-4B0F-B06D-73B6C90BBE5E}"/>
    <cellStyle name="Normal 5 2 2 3 2 6 2 3" xfId="12810" xr:uid="{A1057E70-D52B-4FB3-ACE7-9D943B5C4C45}"/>
    <cellStyle name="Normal 5 2 2 3 2 6 3" xfId="6444" xr:uid="{00000000-0005-0000-0000-0000BB170000}"/>
    <cellStyle name="Normal 5 2 2 3 2 6 3 2" xfId="14883" xr:uid="{C64F4B92-8823-4C4D-929B-5D2A2DA8F1C1}"/>
    <cellStyle name="Normal 5 2 2 3 2 6 4" xfId="10665" xr:uid="{38CD526C-B68E-41D3-AD7B-1B4B43D225F3}"/>
    <cellStyle name="Normal 5 2 2 3 2 7" xfId="2573" xr:uid="{00000000-0005-0000-0000-0000BC170000}"/>
    <cellStyle name="Normal 5 2 2 3 2 7 2" xfId="6857" xr:uid="{00000000-0005-0000-0000-0000BD170000}"/>
    <cellStyle name="Normal 5 2 2 3 2 7 2 2" xfId="15296" xr:uid="{7F852BFB-BFF5-4EAB-854F-58FD5164BD51}"/>
    <cellStyle name="Normal 5 2 2 3 2 7 3" xfId="11078" xr:uid="{9C09CB20-B5D9-4441-8761-1D607CBFF208}"/>
    <cellStyle name="Normal 5 2 2 3 2 8" xfId="4792" xr:uid="{00000000-0005-0000-0000-0000BE170000}"/>
    <cellStyle name="Normal 5 2 2 3 2 8 2" xfId="13231" xr:uid="{0A1752DE-81BD-4241-832C-D1B8E9C149A9}"/>
    <cellStyle name="Normal 5 2 2 3 2 9" xfId="9013" xr:uid="{D93FD20B-7E20-4716-BF8A-AE2E0853E5E8}"/>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0968449D-2443-44AE-A466-E30B7B2D46CA}"/>
    <cellStyle name="Normal 5 2 2 3 3 2 2 3" xfId="11573" xr:uid="{94257843-A5B8-4E60-BEB9-9344331F614C}"/>
    <cellStyle name="Normal 5 2 2 3 3 2 3" xfId="5207" xr:uid="{00000000-0005-0000-0000-0000C3170000}"/>
    <cellStyle name="Normal 5 2 2 3 3 2 3 2" xfId="13646" xr:uid="{5F7EB325-5C5A-4014-85C9-B9478FE8ADDC}"/>
    <cellStyle name="Normal 5 2 2 3 3 2 4" xfId="9428" xr:uid="{5A82227A-3AA0-4DDE-AE1C-92A3083A0856}"/>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9D315875-88C3-4A50-8E73-B10E11FB0C96}"/>
    <cellStyle name="Normal 5 2 2 3 3 3 2 3" xfId="11986" xr:uid="{159DC1ED-DAAD-494C-B986-7E5DC2C98E43}"/>
    <cellStyle name="Normal 5 2 2 3 3 3 3" xfId="5620" xr:uid="{00000000-0005-0000-0000-0000C7170000}"/>
    <cellStyle name="Normal 5 2 2 3 3 3 3 2" xfId="14059" xr:uid="{8228A47F-340E-4AF1-9374-772E977DABF4}"/>
    <cellStyle name="Normal 5 2 2 3 3 3 4" xfId="9841" xr:uid="{151383AE-EE7E-4354-B746-16BF40963D7E}"/>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0DE39CF2-3FA5-430D-B997-FF1CB56C0272}"/>
    <cellStyle name="Normal 5 2 2 3 3 4 2 3" xfId="12399" xr:uid="{2461087D-638B-4E1E-833B-FE99CB4C5DB2}"/>
    <cellStyle name="Normal 5 2 2 3 3 4 3" xfId="6033" xr:uid="{00000000-0005-0000-0000-0000CB170000}"/>
    <cellStyle name="Normal 5 2 2 3 3 4 3 2" xfId="14472" xr:uid="{7F67D914-6781-4DBA-8F39-BBDCB3956F60}"/>
    <cellStyle name="Normal 5 2 2 3 3 4 4" xfId="10254" xr:uid="{913887B7-AEE6-4C4C-AFCC-1A3A3EFDFF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477A0F41-9411-46A1-8D27-827860A2CB99}"/>
    <cellStyle name="Normal 5 2 2 3 3 5 2 3" xfId="12812" xr:uid="{38AB589A-4047-4E29-8B17-867A2220F089}"/>
    <cellStyle name="Normal 5 2 2 3 3 5 3" xfId="6446" xr:uid="{00000000-0005-0000-0000-0000CF170000}"/>
    <cellStyle name="Normal 5 2 2 3 3 5 3 2" xfId="14885" xr:uid="{F6F55E13-C7A4-4D6A-A9C1-8E2DBD88C5A6}"/>
    <cellStyle name="Normal 5 2 2 3 3 5 4" xfId="10667" xr:uid="{8AD1C5FB-3CEC-4B3A-B105-42CE19008D0C}"/>
    <cellStyle name="Normal 5 2 2 3 3 6" xfId="2575" xr:uid="{00000000-0005-0000-0000-0000D0170000}"/>
    <cellStyle name="Normal 5 2 2 3 3 6 2" xfId="6859" xr:uid="{00000000-0005-0000-0000-0000D1170000}"/>
    <cellStyle name="Normal 5 2 2 3 3 6 2 2" xfId="15298" xr:uid="{13FF871A-B4C4-478B-B0B2-323309EBBBEA}"/>
    <cellStyle name="Normal 5 2 2 3 3 6 3" xfId="11080" xr:uid="{9843D1EE-3573-4A8C-9C8F-E63DE718552C}"/>
    <cellStyle name="Normal 5 2 2 3 3 7" xfId="4794" xr:uid="{00000000-0005-0000-0000-0000D2170000}"/>
    <cellStyle name="Normal 5 2 2 3 3 7 2" xfId="13233" xr:uid="{4975419D-2C38-44D9-895C-AB2E9C13E1B8}"/>
    <cellStyle name="Normal 5 2 2 3 3 8" xfId="9015" xr:uid="{EC21C8F1-B1A1-4CF9-8B12-BCF4CF13C58C}"/>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403EA9DF-8782-4B08-B0F0-88840D732C1E}"/>
    <cellStyle name="Normal 5 2 2 3 4 2 3" xfId="11570" xr:uid="{0AD013A4-EE36-42B5-A869-2D159FDFC8A8}"/>
    <cellStyle name="Normal 5 2 2 3 4 3" xfId="5204" xr:uid="{00000000-0005-0000-0000-0000D6170000}"/>
    <cellStyle name="Normal 5 2 2 3 4 3 2" xfId="13643" xr:uid="{EA1CF239-2019-4E7B-928D-20CD8A72CE81}"/>
    <cellStyle name="Normal 5 2 2 3 4 4" xfId="9425" xr:uid="{D3B3AE4B-7A83-48AA-B2BE-D7CFF67A317A}"/>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9971CE46-5093-4FDB-87A6-02FDB98FC6A5}"/>
    <cellStyle name="Normal 5 2 2 3 5 2 3" xfId="11983" xr:uid="{AD805A25-1A93-485B-AB52-EEC6D59FB523}"/>
    <cellStyle name="Normal 5 2 2 3 5 3" xfId="5617" xr:uid="{00000000-0005-0000-0000-0000DA170000}"/>
    <cellStyle name="Normal 5 2 2 3 5 3 2" xfId="14056" xr:uid="{824976FE-C503-4B7C-8105-250607443209}"/>
    <cellStyle name="Normal 5 2 2 3 5 4" xfId="9838" xr:uid="{68E06E06-B367-4438-ABD5-CD305E694B60}"/>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3276A914-4EAD-4CA2-AE8A-E6E4A5FDB0A9}"/>
    <cellStyle name="Normal 5 2 2 3 6 2 3" xfId="12396" xr:uid="{F3778B35-15CE-4861-AB04-1AD1230D95BB}"/>
    <cellStyle name="Normal 5 2 2 3 6 3" xfId="6030" xr:uid="{00000000-0005-0000-0000-0000DE170000}"/>
    <cellStyle name="Normal 5 2 2 3 6 3 2" xfId="14469" xr:uid="{55A98CB8-87C1-47F7-A1DC-B56062A0AC02}"/>
    <cellStyle name="Normal 5 2 2 3 6 4" xfId="10251" xr:uid="{E1BB15D0-B0B1-45F1-A8DF-017EC82CE41A}"/>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46706B24-831C-49EA-BC0F-EE09D5EF1139}"/>
    <cellStyle name="Normal 5 2 2 3 7 2 3" xfId="12809" xr:uid="{2A76554E-C630-435A-9F56-6609979AB663}"/>
    <cellStyle name="Normal 5 2 2 3 7 3" xfId="6443" xr:uid="{00000000-0005-0000-0000-0000E2170000}"/>
    <cellStyle name="Normal 5 2 2 3 7 3 2" xfId="14882" xr:uid="{3C46D381-F2E8-430A-91F4-E8AF6FD14C68}"/>
    <cellStyle name="Normal 5 2 2 3 7 4" xfId="10664" xr:uid="{10755099-6EB6-410F-87C1-AB27E076B1CA}"/>
    <cellStyle name="Normal 5 2 2 3 8" xfId="2572" xr:uid="{00000000-0005-0000-0000-0000E3170000}"/>
    <cellStyle name="Normal 5 2 2 3 8 2" xfId="6856" xr:uid="{00000000-0005-0000-0000-0000E4170000}"/>
    <cellStyle name="Normal 5 2 2 3 8 2 2" xfId="15295" xr:uid="{EEED4EBC-D639-4035-9A73-E7C6B75D86D3}"/>
    <cellStyle name="Normal 5 2 2 3 8 3" xfId="11077" xr:uid="{66C7E027-8828-4EEF-979B-8BC959D04ED0}"/>
    <cellStyle name="Normal 5 2 2 3 9" xfId="4791" xr:uid="{00000000-0005-0000-0000-0000E5170000}"/>
    <cellStyle name="Normal 5 2 2 3 9 2" xfId="13230" xr:uid="{AFE76A76-C2E3-4695-BDC3-EF6B0D1CF9DF}"/>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F7E94ADA-6E47-4D03-A9D0-CEE263476E21}"/>
    <cellStyle name="Normal 5 2 2 4 2 2 2 3" xfId="11575" xr:uid="{24450E88-7E7E-4545-8785-F7D94CAD3ADF}"/>
    <cellStyle name="Normal 5 2 2 4 2 2 3" xfId="5209" xr:uid="{00000000-0005-0000-0000-0000EB170000}"/>
    <cellStyle name="Normal 5 2 2 4 2 2 3 2" xfId="13648" xr:uid="{2D4DEB24-7B27-4F15-B0CF-AD57EE7FF4F2}"/>
    <cellStyle name="Normal 5 2 2 4 2 2 4" xfId="9430" xr:uid="{91C67041-F834-4C69-B32F-7870AEB042D6}"/>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1D59307C-4CD3-412C-A816-B373EC608831}"/>
    <cellStyle name="Normal 5 2 2 4 2 3 2 3" xfId="11988" xr:uid="{2A7780AA-19E4-435D-B560-AF0A6C678C4C}"/>
    <cellStyle name="Normal 5 2 2 4 2 3 3" xfId="5622" xr:uid="{00000000-0005-0000-0000-0000EF170000}"/>
    <cellStyle name="Normal 5 2 2 4 2 3 3 2" xfId="14061" xr:uid="{FF86E160-8FC4-4FF5-97A8-AE42C720606D}"/>
    <cellStyle name="Normal 5 2 2 4 2 3 4" xfId="9843" xr:uid="{1AC56520-2A57-4D95-A55E-41B20E7B1485}"/>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6B55463A-AC27-4EAB-A2C8-5A9444DC4D5A}"/>
    <cellStyle name="Normal 5 2 2 4 2 4 2 3" xfId="12401" xr:uid="{012172FA-0C55-4319-A28C-19E978A9374C}"/>
    <cellStyle name="Normal 5 2 2 4 2 4 3" xfId="6035" xr:uid="{00000000-0005-0000-0000-0000F3170000}"/>
    <cellStyle name="Normal 5 2 2 4 2 4 3 2" xfId="14474" xr:uid="{3B98EECB-B637-460B-B03E-C0AA9F5403CE}"/>
    <cellStyle name="Normal 5 2 2 4 2 4 4" xfId="10256" xr:uid="{30563E3D-EE22-4977-BE1A-75C02FBD1C71}"/>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0D72D922-1443-418A-90DA-EB1A33DF5C41}"/>
    <cellStyle name="Normal 5 2 2 4 2 5 2 3" xfId="12814" xr:uid="{9634785F-7C26-45BF-B811-9B804C50CD09}"/>
    <cellStyle name="Normal 5 2 2 4 2 5 3" xfId="6448" xr:uid="{00000000-0005-0000-0000-0000F7170000}"/>
    <cellStyle name="Normal 5 2 2 4 2 5 3 2" xfId="14887" xr:uid="{BDDF40D2-0AFA-4E61-8D2C-5A25F61ECB24}"/>
    <cellStyle name="Normal 5 2 2 4 2 5 4" xfId="10669" xr:uid="{35F41BBB-6147-4A4C-9D29-F125B48EC7A3}"/>
    <cellStyle name="Normal 5 2 2 4 2 6" xfId="2577" xr:uid="{00000000-0005-0000-0000-0000F8170000}"/>
    <cellStyle name="Normal 5 2 2 4 2 6 2" xfId="6861" xr:uid="{00000000-0005-0000-0000-0000F9170000}"/>
    <cellStyle name="Normal 5 2 2 4 2 6 2 2" xfId="15300" xr:uid="{84440C2C-A267-4162-BAE6-D22A33099DF3}"/>
    <cellStyle name="Normal 5 2 2 4 2 6 3" xfId="11082" xr:uid="{E60CA391-00AE-44A1-85B0-AB173690A665}"/>
    <cellStyle name="Normal 5 2 2 4 2 7" xfId="4796" xr:uid="{00000000-0005-0000-0000-0000FA170000}"/>
    <cellStyle name="Normal 5 2 2 4 2 7 2" xfId="13235" xr:uid="{A100A112-F429-4970-99DF-B57F548CFA2E}"/>
    <cellStyle name="Normal 5 2 2 4 2 8" xfId="9017" xr:uid="{8DC84A54-2328-4DAA-9E04-7BA49C091497}"/>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5F2F95A9-AF1D-4936-B1F3-12D1012DA7A2}"/>
    <cellStyle name="Normal 5 2 2 4 3 2 3" xfId="11574" xr:uid="{FDEFEC98-82D9-4F98-9DE9-136FC2526711}"/>
    <cellStyle name="Normal 5 2 2 4 3 3" xfId="5208" xr:uid="{00000000-0005-0000-0000-0000FE170000}"/>
    <cellStyle name="Normal 5 2 2 4 3 3 2" xfId="13647" xr:uid="{DC7D1686-9168-4D6E-877F-EBB559934899}"/>
    <cellStyle name="Normal 5 2 2 4 3 4" xfId="9429" xr:uid="{D5ADBDAC-60DD-475D-AEAA-33B9543191E6}"/>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5ED27B94-87CC-4825-A9C1-E20FAD65F25B}"/>
    <cellStyle name="Normal 5 2 2 4 4 2 3" xfId="11987" xr:uid="{5B55F65B-DC7F-4222-8673-4DCC1611466A}"/>
    <cellStyle name="Normal 5 2 2 4 4 3" xfId="5621" xr:uid="{00000000-0005-0000-0000-000002180000}"/>
    <cellStyle name="Normal 5 2 2 4 4 3 2" xfId="14060" xr:uid="{7D2B7246-FAE7-42F2-8691-AF4438ED8541}"/>
    <cellStyle name="Normal 5 2 2 4 4 4" xfId="9842" xr:uid="{118B7D87-B245-4C22-97A4-FF2A2F9D8285}"/>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D7141B18-FB4C-4366-83E8-15DE76627B1C}"/>
    <cellStyle name="Normal 5 2 2 4 5 2 3" xfId="12400" xr:uid="{540EAE73-6389-4388-BF99-A160089BADA3}"/>
    <cellStyle name="Normal 5 2 2 4 5 3" xfId="6034" xr:uid="{00000000-0005-0000-0000-000006180000}"/>
    <cellStyle name="Normal 5 2 2 4 5 3 2" xfId="14473" xr:uid="{43D11B4E-DE9E-4696-8D03-00D636826938}"/>
    <cellStyle name="Normal 5 2 2 4 5 4" xfId="10255" xr:uid="{84906D41-458B-4503-84AF-86F4A415C70D}"/>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8EF100A3-040A-47F0-9D9C-68760605DBBC}"/>
    <cellStyle name="Normal 5 2 2 4 6 2 3" xfId="12813" xr:uid="{CBEFE8B7-DFE5-4F7B-9896-64E6C9A3E5FD}"/>
    <cellStyle name="Normal 5 2 2 4 6 3" xfId="6447" xr:uid="{00000000-0005-0000-0000-00000A180000}"/>
    <cellStyle name="Normal 5 2 2 4 6 3 2" xfId="14886" xr:uid="{FD9AF61C-4D03-428B-B2A7-DC93A2958B30}"/>
    <cellStyle name="Normal 5 2 2 4 6 4" xfId="10668" xr:uid="{AF4A4C11-FA93-4F80-BE64-0608453F602A}"/>
    <cellStyle name="Normal 5 2 2 4 7" xfId="2576" xr:uid="{00000000-0005-0000-0000-00000B180000}"/>
    <cellStyle name="Normal 5 2 2 4 7 2" xfId="6860" xr:uid="{00000000-0005-0000-0000-00000C180000}"/>
    <cellStyle name="Normal 5 2 2 4 7 2 2" xfId="15299" xr:uid="{EA424EFF-488E-497C-BF00-5048685B2CEB}"/>
    <cellStyle name="Normal 5 2 2 4 7 3" xfId="11081" xr:uid="{B7085CD4-821F-40FC-895F-B874C4CAB61F}"/>
    <cellStyle name="Normal 5 2 2 4 8" xfId="4795" xr:uid="{00000000-0005-0000-0000-00000D180000}"/>
    <cellStyle name="Normal 5 2 2 4 8 2" xfId="13234" xr:uid="{CF03CB10-53B7-4DD1-9D54-63BE4680BC22}"/>
    <cellStyle name="Normal 5 2 2 4 9" xfId="9016" xr:uid="{FA49F8C4-4744-4798-B9F5-F7F8DD7A789F}"/>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FCFD3CCF-EABC-4B73-AC21-04336481EDD1}"/>
    <cellStyle name="Normal 5 2 2 5 2 2 3" xfId="11576" xr:uid="{EF59F19A-4CF0-4F61-A09D-EBC179CDF6C8}"/>
    <cellStyle name="Normal 5 2 2 5 2 3" xfId="5210" xr:uid="{00000000-0005-0000-0000-000012180000}"/>
    <cellStyle name="Normal 5 2 2 5 2 3 2" xfId="13649" xr:uid="{3960B5DD-555E-406F-A6A3-201BE9F7C095}"/>
    <cellStyle name="Normal 5 2 2 5 2 4" xfId="9431" xr:uid="{72BA58BA-353C-47CE-A1B4-30DF5B1A81E2}"/>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2E057DD8-2432-4DA3-8934-82620BA15273}"/>
    <cellStyle name="Normal 5 2 2 5 3 2 3" xfId="11989" xr:uid="{2B108C2B-15B9-43A5-9933-0679BAB60BC2}"/>
    <cellStyle name="Normal 5 2 2 5 3 3" xfId="5623" xr:uid="{00000000-0005-0000-0000-000016180000}"/>
    <cellStyle name="Normal 5 2 2 5 3 3 2" xfId="14062" xr:uid="{5CD45571-92F9-465C-90D8-76BD0D87C83E}"/>
    <cellStyle name="Normal 5 2 2 5 3 4" xfId="9844" xr:uid="{4FB64729-7B1A-4F1F-8F19-FF9970C4D706}"/>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90B42E53-6531-48CF-972B-50F20B956D57}"/>
    <cellStyle name="Normal 5 2 2 5 4 2 3" xfId="12402" xr:uid="{D7E858E8-5CD2-490F-9299-99898122DF62}"/>
    <cellStyle name="Normal 5 2 2 5 4 3" xfId="6036" xr:uid="{00000000-0005-0000-0000-00001A180000}"/>
    <cellStyle name="Normal 5 2 2 5 4 3 2" xfId="14475" xr:uid="{082E5050-7689-4DB0-ADA3-F7FB52E8AAF2}"/>
    <cellStyle name="Normal 5 2 2 5 4 4" xfId="10257" xr:uid="{2C733259-74C4-4B40-B3EA-7A0BA3D2F82C}"/>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DE2952D1-FAA2-407F-9917-4C4290095A84}"/>
    <cellStyle name="Normal 5 2 2 5 5 2 3" xfId="12815" xr:uid="{27EC7B3A-AA18-4AB7-859E-BBD0FE51125C}"/>
    <cellStyle name="Normal 5 2 2 5 5 3" xfId="6449" xr:uid="{00000000-0005-0000-0000-00001E180000}"/>
    <cellStyle name="Normal 5 2 2 5 5 3 2" xfId="14888" xr:uid="{11D0B721-4B71-4522-A65E-A41C426563C5}"/>
    <cellStyle name="Normal 5 2 2 5 5 4" xfId="10670" xr:uid="{67F6C58E-EF6F-4FC2-8059-E5FD36758A9F}"/>
    <cellStyle name="Normal 5 2 2 5 6" xfId="2578" xr:uid="{00000000-0005-0000-0000-00001F180000}"/>
    <cellStyle name="Normal 5 2 2 5 6 2" xfId="6862" xr:uid="{00000000-0005-0000-0000-000020180000}"/>
    <cellStyle name="Normal 5 2 2 5 6 2 2" xfId="15301" xr:uid="{A25A5AF8-29E1-4B51-8286-05A2154F7DF6}"/>
    <cellStyle name="Normal 5 2 2 5 6 3" xfId="11083" xr:uid="{F13D7F17-AF0B-400D-8EA7-FE611B5792FC}"/>
    <cellStyle name="Normal 5 2 2 5 7" xfId="4797" xr:uid="{00000000-0005-0000-0000-000021180000}"/>
    <cellStyle name="Normal 5 2 2 5 7 2" xfId="13236" xr:uid="{8F9DBA5D-C257-45BF-A991-DA50DB048BAD}"/>
    <cellStyle name="Normal 5 2 2 5 8" xfId="9018" xr:uid="{210CD9B4-C84E-4121-9885-25EF90EA6821}"/>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AD6F86D6-BA81-49D6-A03F-C2C029D974C6}"/>
    <cellStyle name="Normal 5 2 2 6 2 3" xfId="11561" xr:uid="{E325D6D4-D946-4980-998D-93AC4FF84DAF}"/>
    <cellStyle name="Normal 5 2 2 6 3" xfId="5195" xr:uid="{00000000-0005-0000-0000-000025180000}"/>
    <cellStyle name="Normal 5 2 2 6 3 2" xfId="13634" xr:uid="{AD7212BC-CB96-44F4-BD39-D99E1F0015CD}"/>
    <cellStyle name="Normal 5 2 2 6 4" xfId="9416" xr:uid="{02F06CDB-E230-4162-9523-6A6CE9D16F60}"/>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1F4F8891-23E1-4EA5-BD81-60C98C96EFA2}"/>
    <cellStyle name="Normal 5 2 2 7 2 3" xfId="11974" xr:uid="{FC87E3A2-BA0A-476B-8DE2-607F41343B57}"/>
    <cellStyle name="Normal 5 2 2 7 3" xfId="5608" xr:uid="{00000000-0005-0000-0000-000029180000}"/>
    <cellStyle name="Normal 5 2 2 7 3 2" xfId="14047" xr:uid="{A24E2A59-D1F4-4EF2-8B89-AA4BFA145E0A}"/>
    <cellStyle name="Normal 5 2 2 7 4" xfId="9829" xr:uid="{EB02D459-1EEB-4EC2-8D47-FEE617ACC4DB}"/>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F30AEFD8-10F7-46A7-9DA6-439FEA2D250F}"/>
    <cellStyle name="Normal 5 2 2 8 2 3" xfId="12387" xr:uid="{22C47578-AED9-4E11-8907-5930301B5A83}"/>
    <cellStyle name="Normal 5 2 2 8 3" xfId="6021" xr:uid="{00000000-0005-0000-0000-00002D180000}"/>
    <cellStyle name="Normal 5 2 2 8 3 2" xfId="14460" xr:uid="{B264F65A-8F08-48EF-88E3-D0B9E10A717D}"/>
    <cellStyle name="Normal 5 2 2 8 4" xfId="10242" xr:uid="{4E1CF673-BD86-4C60-B026-5B60E934678B}"/>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8C9538E0-61DC-40FC-8AFD-03C64EAE9907}"/>
    <cellStyle name="Normal 5 2 2 9 2 3" xfId="12800" xr:uid="{F881F625-BD2E-4C9F-8EF7-AFE461B15773}"/>
    <cellStyle name="Normal 5 2 2 9 3" xfId="6434" xr:uid="{00000000-0005-0000-0000-000031180000}"/>
    <cellStyle name="Normal 5 2 2 9 3 2" xfId="14873" xr:uid="{EDF08680-BE01-484A-973A-41D58D7F0A70}"/>
    <cellStyle name="Normal 5 2 2 9 4" xfId="10655" xr:uid="{56ABE85F-00DF-4E29-AEA0-729FF880C77F}"/>
    <cellStyle name="Normal 5 2 3" xfId="424" xr:uid="{00000000-0005-0000-0000-000032180000}"/>
    <cellStyle name="Normal 5 2 3 10" xfId="4798" xr:uid="{00000000-0005-0000-0000-000033180000}"/>
    <cellStyle name="Normal 5 2 3 10 2" xfId="13237" xr:uid="{C3EFEB38-19E1-476A-B5AC-8731470EA8C3}"/>
    <cellStyle name="Normal 5 2 3 11" xfId="9019" xr:uid="{1F26482D-A993-49EA-84C5-AFB139D62212}"/>
    <cellStyle name="Normal 5 2 3 2" xfId="425" xr:uid="{00000000-0005-0000-0000-000034180000}"/>
    <cellStyle name="Normal 5 2 3 2 10" xfId="9020" xr:uid="{E72B47CC-F18E-4DCB-AD77-D7237B518423}"/>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9CCA3357-987C-4C00-863E-28F1DBB82911}"/>
    <cellStyle name="Normal 5 2 3 2 2 2 2 2 3" xfId="11580" xr:uid="{6E40A8E3-A949-44E7-AA69-C94781B028DE}"/>
    <cellStyle name="Normal 5 2 3 2 2 2 2 3" xfId="5214" xr:uid="{00000000-0005-0000-0000-00003A180000}"/>
    <cellStyle name="Normal 5 2 3 2 2 2 2 3 2" xfId="13653" xr:uid="{82DD71D0-978E-4333-B7E9-40CFAED067A1}"/>
    <cellStyle name="Normal 5 2 3 2 2 2 2 4" xfId="9435" xr:uid="{76ABE58E-90AA-4AA0-9CDB-3B2D20BCA535}"/>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F50CE9FF-B287-4DFB-8BAD-7E459ADBFD70}"/>
    <cellStyle name="Normal 5 2 3 2 2 2 3 2 3" xfId="11993" xr:uid="{14A3E5DA-A38E-4347-AFA3-9E0DABC396D9}"/>
    <cellStyle name="Normal 5 2 3 2 2 2 3 3" xfId="5627" xr:uid="{00000000-0005-0000-0000-00003E180000}"/>
    <cellStyle name="Normal 5 2 3 2 2 2 3 3 2" xfId="14066" xr:uid="{880627BA-6F00-442F-B091-9FA235C1E50B}"/>
    <cellStyle name="Normal 5 2 3 2 2 2 3 4" xfId="9848" xr:uid="{404E49A2-3846-4D41-BC97-1585ABAC4787}"/>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0C3C9147-22C1-41C0-BE89-2E2F42D6FE56}"/>
    <cellStyle name="Normal 5 2 3 2 2 2 4 2 3" xfId="12406" xr:uid="{1DDDB0C9-CE75-45AD-AD54-A1FFF8B14202}"/>
    <cellStyle name="Normal 5 2 3 2 2 2 4 3" xfId="6040" xr:uid="{00000000-0005-0000-0000-000042180000}"/>
    <cellStyle name="Normal 5 2 3 2 2 2 4 3 2" xfId="14479" xr:uid="{3D9E8802-0E2C-428E-88AA-ABA57805E178}"/>
    <cellStyle name="Normal 5 2 3 2 2 2 4 4" xfId="10261" xr:uid="{756C379B-DDF3-4350-A1EF-E4849B7F8327}"/>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B99C3103-F289-4162-8537-8AAAFAC74395}"/>
    <cellStyle name="Normal 5 2 3 2 2 2 5 2 3" xfId="12819" xr:uid="{3C6A3D4A-E4E5-4F31-9A96-C7CDD404F719}"/>
    <cellStyle name="Normal 5 2 3 2 2 2 5 3" xfId="6453" xr:uid="{00000000-0005-0000-0000-000046180000}"/>
    <cellStyle name="Normal 5 2 3 2 2 2 5 3 2" xfId="14892" xr:uid="{20CB1029-54A6-4B18-9A12-7CB97E6B0142}"/>
    <cellStyle name="Normal 5 2 3 2 2 2 5 4" xfId="10674" xr:uid="{412333F0-828A-41D3-A841-2CA76E10C14E}"/>
    <cellStyle name="Normal 5 2 3 2 2 2 6" xfId="2582" xr:uid="{00000000-0005-0000-0000-000047180000}"/>
    <cellStyle name="Normal 5 2 3 2 2 2 6 2" xfId="6866" xr:uid="{00000000-0005-0000-0000-000048180000}"/>
    <cellStyle name="Normal 5 2 3 2 2 2 6 2 2" xfId="15305" xr:uid="{8F2380E7-FDDB-47E0-B481-2D6B77DF9746}"/>
    <cellStyle name="Normal 5 2 3 2 2 2 6 3" xfId="11087" xr:uid="{D59B47CE-4003-47BC-9550-AA4A347ACF77}"/>
    <cellStyle name="Normal 5 2 3 2 2 2 7" xfId="4801" xr:uid="{00000000-0005-0000-0000-000049180000}"/>
    <cellStyle name="Normal 5 2 3 2 2 2 7 2" xfId="13240" xr:uid="{B088275F-3D31-49AD-8514-FF77F3915C39}"/>
    <cellStyle name="Normal 5 2 3 2 2 2 8" xfId="9022" xr:uid="{D85EEA92-C795-4A55-85D2-37789CC747B3}"/>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B12CF3BC-0400-4E8F-9B11-C20BB5A7C2FB}"/>
    <cellStyle name="Normal 5 2 3 2 2 3 2 3" xfId="11579" xr:uid="{2D3CA42E-5A85-4412-9EFB-C93DA2F7BA29}"/>
    <cellStyle name="Normal 5 2 3 2 2 3 3" xfId="5213" xr:uid="{00000000-0005-0000-0000-00004D180000}"/>
    <cellStyle name="Normal 5 2 3 2 2 3 3 2" xfId="13652" xr:uid="{767C298D-7311-4365-A789-20EB52AD3A45}"/>
    <cellStyle name="Normal 5 2 3 2 2 3 4" xfId="9434" xr:uid="{2908C1BF-3F7D-448A-A717-6AC2DEE4C7CF}"/>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D42CB582-859A-47AF-A65B-011E5C424AA4}"/>
    <cellStyle name="Normal 5 2 3 2 2 4 2 3" xfId="11992" xr:uid="{307579A4-39F7-421E-BFF9-1E72FD6219F7}"/>
    <cellStyle name="Normal 5 2 3 2 2 4 3" xfId="5626" xr:uid="{00000000-0005-0000-0000-000051180000}"/>
    <cellStyle name="Normal 5 2 3 2 2 4 3 2" xfId="14065" xr:uid="{73770D96-6361-4561-A552-BA30EA7BF560}"/>
    <cellStyle name="Normal 5 2 3 2 2 4 4" xfId="9847" xr:uid="{DF41CBEF-C5E7-41B2-917F-C330496BC26B}"/>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E375EC71-1462-4CC8-B358-461E242C57BF}"/>
    <cellStyle name="Normal 5 2 3 2 2 5 2 3" xfId="12405" xr:uid="{67096C7B-D77B-4432-AEE2-495BFB98F450}"/>
    <cellStyle name="Normal 5 2 3 2 2 5 3" xfId="6039" xr:uid="{00000000-0005-0000-0000-000055180000}"/>
    <cellStyle name="Normal 5 2 3 2 2 5 3 2" xfId="14478" xr:uid="{5F8E3CA8-664E-4369-A870-B4EE180FD772}"/>
    <cellStyle name="Normal 5 2 3 2 2 5 4" xfId="10260" xr:uid="{25AF5C66-AAB7-40BC-9254-32811B672987}"/>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3FF52AC9-5DB8-446E-A557-9B15B13BF624}"/>
    <cellStyle name="Normal 5 2 3 2 2 6 2 3" xfId="12818" xr:uid="{468BFBB6-FB60-4E8C-9B3E-2E2B6AB84BEA}"/>
    <cellStyle name="Normal 5 2 3 2 2 6 3" xfId="6452" xr:uid="{00000000-0005-0000-0000-000059180000}"/>
    <cellStyle name="Normal 5 2 3 2 2 6 3 2" xfId="14891" xr:uid="{B1F19355-6033-4FF0-BE58-AB760078FA88}"/>
    <cellStyle name="Normal 5 2 3 2 2 6 4" xfId="10673" xr:uid="{9039310C-8DAD-4748-8136-C8775EA52D88}"/>
    <cellStyle name="Normal 5 2 3 2 2 7" xfId="2581" xr:uid="{00000000-0005-0000-0000-00005A180000}"/>
    <cellStyle name="Normal 5 2 3 2 2 7 2" xfId="6865" xr:uid="{00000000-0005-0000-0000-00005B180000}"/>
    <cellStyle name="Normal 5 2 3 2 2 7 2 2" xfId="15304" xr:uid="{891C712A-9F7A-456C-A97F-593C70A449BB}"/>
    <cellStyle name="Normal 5 2 3 2 2 7 3" xfId="11086" xr:uid="{B36A7BA3-832E-4E68-BAF7-4816C0F9980D}"/>
    <cellStyle name="Normal 5 2 3 2 2 8" xfId="4800" xr:uid="{00000000-0005-0000-0000-00005C180000}"/>
    <cellStyle name="Normal 5 2 3 2 2 8 2" xfId="13239" xr:uid="{6DCD0513-896B-4FC9-AB05-616230A05E13}"/>
    <cellStyle name="Normal 5 2 3 2 2 9" xfId="9021" xr:uid="{ACD99A99-E936-436A-A67F-E1BBF20BE155}"/>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72159E66-AE8C-452F-8B38-CF46A9BC1D38}"/>
    <cellStyle name="Normal 5 2 3 2 3 2 2 3" xfId="11581" xr:uid="{8F488FB7-1313-4044-9F3A-6EED84D0B8BA}"/>
    <cellStyle name="Normal 5 2 3 2 3 2 3" xfId="5215" xr:uid="{00000000-0005-0000-0000-000061180000}"/>
    <cellStyle name="Normal 5 2 3 2 3 2 3 2" xfId="13654" xr:uid="{2EF9D24A-336F-435A-8A39-88C1841DF522}"/>
    <cellStyle name="Normal 5 2 3 2 3 2 4" xfId="9436" xr:uid="{C8BDCDDC-719D-41CD-B282-9F1A44DA9083}"/>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4F4D83D7-0633-4598-BFD6-A4A56506A8CB}"/>
    <cellStyle name="Normal 5 2 3 2 3 3 2 3" xfId="11994" xr:uid="{A1692D47-58DC-456E-B09B-B77C68BEE775}"/>
    <cellStyle name="Normal 5 2 3 2 3 3 3" xfId="5628" xr:uid="{00000000-0005-0000-0000-000065180000}"/>
    <cellStyle name="Normal 5 2 3 2 3 3 3 2" xfId="14067" xr:uid="{F7B813D5-E1FB-43A1-ACBB-EA2455E66FDF}"/>
    <cellStyle name="Normal 5 2 3 2 3 3 4" xfId="9849" xr:uid="{E2E8FEF2-9B95-4B8C-9A67-0C83E8683571}"/>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40D5FBC6-8968-4E21-9ABB-FD542128B7DA}"/>
    <cellStyle name="Normal 5 2 3 2 3 4 2 3" xfId="12407" xr:uid="{65235FB9-1038-4C07-8DDB-08F737E68693}"/>
    <cellStyle name="Normal 5 2 3 2 3 4 3" xfId="6041" xr:uid="{00000000-0005-0000-0000-000069180000}"/>
    <cellStyle name="Normal 5 2 3 2 3 4 3 2" xfId="14480" xr:uid="{78BBF78A-D6FF-44F4-9447-063F0A20A6BF}"/>
    <cellStyle name="Normal 5 2 3 2 3 4 4" xfId="10262" xr:uid="{7F2022B1-3DE1-444C-9B9A-BFB938DFDFFE}"/>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D51546D2-B0E7-48F3-A34F-E1B5BDF0857D}"/>
    <cellStyle name="Normal 5 2 3 2 3 5 2 3" xfId="12820" xr:uid="{6B54DF22-9DA6-49E0-B7E2-3FFB08836673}"/>
    <cellStyle name="Normal 5 2 3 2 3 5 3" xfId="6454" xr:uid="{00000000-0005-0000-0000-00006D180000}"/>
    <cellStyle name="Normal 5 2 3 2 3 5 3 2" xfId="14893" xr:uid="{C3253C83-33C3-4ABF-9851-F89B1E7A4390}"/>
    <cellStyle name="Normal 5 2 3 2 3 5 4" xfId="10675" xr:uid="{DFA29933-0827-4945-8FE0-62B595591789}"/>
    <cellStyle name="Normal 5 2 3 2 3 6" xfId="2583" xr:uid="{00000000-0005-0000-0000-00006E180000}"/>
    <cellStyle name="Normal 5 2 3 2 3 6 2" xfId="6867" xr:uid="{00000000-0005-0000-0000-00006F180000}"/>
    <cellStyle name="Normal 5 2 3 2 3 6 2 2" xfId="15306" xr:uid="{87A79CEE-2BA6-4C7D-886A-EDD769C813C8}"/>
    <cellStyle name="Normal 5 2 3 2 3 6 3" xfId="11088" xr:uid="{48D12E58-9809-47FD-901C-920E6ACC3DAB}"/>
    <cellStyle name="Normal 5 2 3 2 3 7" xfId="4802" xr:uid="{00000000-0005-0000-0000-000070180000}"/>
    <cellStyle name="Normal 5 2 3 2 3 7 2" xfId="13241" xr:uid="{8392065D-6199-4D33-BD0F-4BEE40C8F4E5}"/>
    <cellStyle name="Normal 5 2 3 2 3 8" xfId="9023" xr:uid="{B5A9E6C5-2E29-4713-AAB8-714305DF3DD2}"/>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05D0069F-9B86-4206-9E71-5DA1249F9583}"/>
    <cellStyle name="Normal 5 2 3 2 4 2 3" xfId="11578" xr:uid="{CB3CB22B-EEAB-4706-A6BA-85A9C42B2B6E}"/>
    <cellStyle name="Normal 5 2 3 2 4 3" xfId="5212" xr:uid="{00000000-0005-0000-0000-000074180000}"/>
    <cellStyle name="Normal 5 2 3 2 4 3 2" xfId="13651" xr:uid="{ABD07EED-54F0-4DF6-8B9D-7A62C864FB4F}"/>
    <cellStyle name="Normal 5 2 3 2 4 4" xfId="9433" xr:uid="{49BF2C17-68F7-41EA-B0E9-2DE0DAC3A55B}"/>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1C23DAE8-DA6E-49FC-9164-A5894B99EAD8}"/>
    <cellStyle name="Normal 5 2 3 2 5 2 3" xfId="11991" xr:uid="{E2E9F338-BCD5-4F48-B4B8-3BA32D0E0C97}"/>
    <cellStyle name="Normal 5 2 3 2 5 3" xfId="5625" xr:uid="{00000000-0005-0000-0000-000078180000}"/>
    <cellStyle name="Normal 5 2 3 2 5 3 2" xfId="14064" xr:uid="{F7443C15-3287-4347-B098-60E0B0AA1755}"/>
    <cellStyle name="Normal 5 2 3 2 5 4" xfId="9846" xr:uid="{9748E07C-C5F3-487D-AB5A-F2C7CF651C7A}"/>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E2D71575-27C1-4BDC-9C78-EE83C34B886D}"/>
    <cellStyle name="Normal 5 2 3 2 6 2 3" xfId="12404" xr:uid="{67AAEFD3-C8E8-4B98-8CB3-CB51B7C723F8}"/>
    <cellStyle name="Normal 5 2 3 2 6 3" xfId="6038" xr:uid="{00000000-0005-0000-0000-00007C180000}"/>
    <cellStyle name="Normal 5 2 3 2 6 3 2" xfId="14477" xr:uid="{9915FE3E-6330-4418-91E7-BA82AE87C2FF}"/>
    <cellStyle name="Normal 5 2 3 2 6 4" xfId="10259" xr:uid="{34302D3C-7999-450B-9527-09B9A0E91152}"/>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9768BD43-30A2-4E80-8B51-52F0CD6A5829}"/>
    <cellStyle name="Normal 5 2 3 2 7 2 3" xfId="12817" xr:uid="{0F815CD6-598B-440D-AA5F-9D38EFF55BD2}"/>
    <cellStyle name="Normal 5 2 3 2 7 3" xfId="6451" xr:uid="{00000000-0005-0000-0000-000080180000}"/>
    <cellStyle name="Normal 5 2 3 2 7 3 2" xfId="14890" xr:uid="{7AE6B94A-9C2F-49FD-ADE2-BA4EE849E83A}"/>
    <cellStyle name="Normal 5 2 3 2 7 4" xfId="10672" xr:uid="{71F6896D-E8CB-4E24-B47E-5772F02BD7B8}"/>
    <cellStyle name="Normal 5 2 3 2 8" xfId="2580" xr:uid="{00000000-0005-0000-0000-000081180000}"/>
    <cellStyle name="Normal 5 2 3 2 8 2" xfId="6864" xr:uid="{00000000-0005-0000-0000-000082180000}"/>
    <cellStyle name="Normal 5 2 3 2 8 2 2" xfId="15303" xr:uid="{704DA850-5297-480D-9D70-601B7F7EFFB1}"/>
    <cellStyle name="Normal 5 2 3 2 8 3" xfId="11085" xr:uid="{1E0DFF7F-A998-45E6-A632-20771B8C23C8}"/>
    <cellStyle name="Normal 5 2 3 2 9" xfId="4799" xr:uid="{00000000-0005-0000-0000-000083180000}"/>
    <cellStyle name="Normal 5 2 3 2 9 2" xfId="13238" xr:uid="{C59281D5-9754-4B34-B321-D37D2B2F307A}"/>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8AEF48AB-D770-424A-B67B-322C414ACD8E}"/>
    <cellStyle name="Normal 5 2 3 3 2 2 2 3" xfId="11583" xr:uid="{59505CA8-90E0-4706-8DBD-D3AAE8567784}"/>
    <cellStyle name="Normal 5 2 3 3 2 2 3" xfId="5217" xr:uid="{00000000-0005-0000-0000-000089180000}"/>
    <cellStyle name="Normal 5 2 3 3 2 2 3 2" xfId="13656" xr:uid="{B126D949-54A5-4456-98B1-9204254870E1}"/>
    <cellStyle name="Normal 5 2 3 3 2 2 4" xfId="9438" xr:uid="{407DC3FD-3FDF-4E06-BD03-A929C5107C04}"/>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42C5F0DF-084E-4CB7-AC35-E045724FC79B}"/>
    <cellStyle name="Normal 5 2 3 3 2 3 2 3" xfId="11996" xr:uid="{2CB05244-944F-40CD-AD92-A9CFC6139F64}"/>
    <cellStyle name="Normal 5 2 3 3 2 3 3" xfId="5630" xr:uid="{00000000-0005-0000-0000-00008D180000}"/>
    <cellStyle name="Normal 5 2 3 3 2 3 3 2" xfId="14069" xr:uid="{B9BE4874-8CD5-41DD-8F8C-ADE0B7B18ACF}"/>
    <cellStyle name="Normal 5 2 3 3 2 3 4" xfId="9851" xr:uid="{F3785459-5BC1-47EB-90E3-424AC6B04B54}"/>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B1FEA528-8EA3-4BAC-B527-80FC7D92F0A7}"/>
    <cellStyle name="Normal 5 2 3 3 2 4 2 3" xfId="12409" xr:uid="{C76FF0AA-F4DF-45C6-9A69-D5CE29CFC52B}"/>
    <cellStyle name="Normal 5 2 3 3 2 4 3" xfId="6043" xr:uid="{00000000-0005-0000-0000-000091180000}"/>
    <cellStyle name="Normal 5 2 3 3 2 4 3 2" xfId="14482" xr:uid="{57CBF5B4-3A49-469B-9D79-932B09AFE9DD}"/>
    <cellStyle name="Normal 5 2 3 3 2 4 4" xfId="10264" xr:uid="{FA2CDADC-1993-40E0-8071-AA931FC195D1}"/>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3E75DA17-86EC-455A-9E70-BF764354161F}"/>
    <cellStyle name="Normal 5 2 3 3 2 5 2 3" xfId="12822" xr:uid="{CD3F6E70-E229-423B-AFD4-9451FA6C9151}"/>
    <cellStyle name="Normal 5 2 3 3 2 5 3" xfId="6456" xr:uid="{00000000-0005-0000-0000-000095180000}"/>
    <cellStyle name="Normal 5 2 3 3 2 5 3 2" xfId="14895" xr:uid="{97F8D9A1-D869-42E2-A00C-CFFC1B47F44A}"/>
    <cellStyle name="Normal 5 2 3 3 2 5 4" xfId="10677" xr:uid="{304476C6-3EA2-41BF-84CE-C1AF9C050A4A}"/>
    <cellStyle name="Normal 5 2 3 3 2 6" xfId="2585" xr:uid="{00000000-0005-0000-0000-000096180000}"/>
    <cellStyle name="Normal 5 2 3 3 2 6 2" xfId="6869" xr:uid="{00000000-0005-0000-0000-000097180000}"/>
    <cellStyle name="Normal 5 2 3 3 2 6 2 2" xfId="15308" xr:uid="{2EC40D6B-4F36-4A63-B470-42E1B5D37382}"/>
    <cellStyle name="Normal 5 2 3 3 2 6 3" xfId="11090" xr:uid="{F155DBD9-A6C1-42A9-BFD8-B2B997A173E0}"/>
    <cellStyle name="Normal 5 2 3 3 2 7" xfId="4804" xr:uid="{00000000-0005-0000-0000-000098180000}"/>
    <cellStyle name="Normal 5 2 3 3 2 7 2" xfId="13243" xr:uid="{D4B994D7-6E28-4FC5-A224-EF78C3D1851C}"/>
    <cellStyle name="Normal 5 2 3 3 2 8" xfId="9025" xr:uid="{CCC73314-6ED1-48AD-B813-BBC0D8BCE0AC}"/>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27C79632-EFA4-497A-B815-1183827510FE}"/>
    <cellStyle name="Normal 5 2 3 3 3 2 3" xfId="11582" xr:uid="{D35D8430-6753-41ED-964C-C11A2B94B992}"/>
    <cellStyle name="Normal 5 2 3 3 3 3" xfId="5216" xr:uid="{00000000-0005-0000-0000-00009C180000}"/>
    <cellStyle name="Normal 5 2 3 3 3 3 2" xfId="13655" xr:uid="{C7E9CC41-E5B1-487F-9167-8611E5E19E75}"/>
    <cellStyle name="Normal 5 2 3 3 3 4" xfId="9437" xr:uid="{69044DEA-1557-42BB-91CB-724E5B845CD1}"/>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199D6083-5A96-4A7A-B952-602AEE68AB25}"/>
    <cellStyle name="Normal 5 2 3 3 4 2 3" xfId="11995" xr:uid="{1E7695FC-BFF6-4839-BAA9-3682B02DF5B1}"/>
    <cellStyle name="Normal 5 2 3 3 4 3" xfId="5629" xr:uid="{00000000-0005-0000-0000-0000A0180000}"/>
    <cellStyle name="Normal 5 2 3 3 4 3 2" xfId="14068" xr:uid="{8C9E08B9-F35C-4150-A9A9-EE3EBBE76433}"/>
    <cellStyle name="Normal 5 2 3 3 4 4" xfId="9850" xr:uid="{CEB95C4E-03AB-4F1A-AB68-56A7CF6BC8C0}"/>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65EF54AF-3E7D-42CE-9E8B-7A51458E5123}"/>
    <cellStyle name="Normal 5 2 3 3 5 2 3" xfId="12408" xr:uid="{AC07C28B-2431-4F64-95C3-A7A4E9AD1ED7}"/>
    <cellStyle name="Normal 5 2 3 3 5 3" xfId="6042" xr:uid="{00000000-0005-0000-0000-0000A4180000}"/>
    <cellStyle name="Normal 5 2 3 3 5 3 2" xfId="14481" xr:uid="{F39E518B-B8F6-46BA-80B8-368D49822915}"/>
    <cellStyle name="Normal 5 2 3 3 5 4" xfId="10263" xr:uid="{1BEEA267-C29F-4CB8-ABA4-62B621CC0914}"/>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0182D7DA-9692-4B22-99B7-55DBE4985FF3}"/>
    <cellStyle name="Normal 5 2 3 3 6 2 3" xfId="12821" xr:uid="{2A3A08C8-2DE0-44D8-8E53-F535B1AB7C9B}"/>
    <cellStyle name="Normal 5 2 3 3 6 3" xfId="6455" xr:uid="{00000000-0005-0000-0000-0000A8180000}"/>
    <cellStyle name="Normal 5 2 3 3 6 3 2" xfId="14894" xr:uid="{B2C2450E-F737-4288-A04B-851654F91835}"/>
    <cellStyle name="Normal 5 2 3 3 6 4" xfId="10676" xr:uid="{F5D3D695-5D4E-46B6-B765-6A27CA23298F}"/>
    <cellStyle name="Normal 5 2 3 3 7" xfId="2584" xr:uid="{00000000-0005-0000-0000-0000A9180000}"/>
    <cellStyle name="Normal 5 2 3 3 7 2" xfId="6868" xr:uid="{00000000-0005-0000-0000-0000AA180000}"/>
    <cellStyle name="Normal 5 2 3 3 7 2 2" xfId="15307" xr:uid="{2A928F67-C375-4B70-AAEF-B5F0A17E2CBE}"/>
    <cellStyle name="Normal 5 2 3 3 7 3" xfId="11089" xr:uid="{6A4BD7AF-9F49-4916-9DF7-739BA8463BB4}"/>
    <cellStyle name="Normal 5 2 3 3 8" xfId="4803" xr:uid="{00000000-0005-0000-0000-0000AB180000}"/>
    <cellStyle name="Normal 5 2 3 3 8 2" xfId="13242" xr:uid="{D174CB92-C922-4229-AD68-1A285FD43C8E}"/>
    <cellStyle name="Normal 5 2 3 3 9" xfId="9024" xr:uid="{3A0DFF82-34FD-48BE-BFEE-E7515EB3938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AB79F159-D66A-4B76-BE3D-3F482FC5002E}"/>
    <cellStyle name="Normal 5 2 3 4 2 2 3" xfId="11584" xr:uid="{0CB5BA2B-55AC-46F8-B5C9-0F92B768D0CA}"/>
    <cellStyle name="Normal 5 2 3 4 2 3" xfId="5218" xr:uid="{00000000-0005-0000-0000-0000B0180000}"/>
    <cellStyle name="Normal 5 2 3 4 2 3 2" xfId="13657" xr:uid="{AB60DCE0-E599-4388-9C68-7CC1968E1E15}"/>
    <cellStyle name="Normal 5 2 3 4 2 4" xfId="9439" xr:uid="{74BD6CD2-70DD-4E95-9511-DA990D71C803}"/>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E860D6EB-0C46-4F12-9C8D-08B05FDC7DF3}"/>
    <cellStyle name="Normal 5 2 3 4 3 2 3" xfId="11997" xr:uid="{87EE0DE4-87DC-4BE3-8624-C1EADBA54992}"/>
    <cellStyle name="Normal 5 2 3 4 3 3" xfId="5631" xr:uid="{00000000-0005-0000-0000-0000B4180000}"/>
    <cellStyle name="Normal 5 2 3 4 3 3 2" xfId="14070" xr:uid="{F724B2E0-CDD9-4F81-B8A9-28D826E859F2}"/>
    <cellStyle name="Normal 5 2 3 4 3 4" xfId="9852" xr:uid="{D23F1C0F-B0D3-446F-8983-903873593205}"/>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A499E0AD-0C44-4003-A0BE-C9293F63613E}"/>
    <cellStyle name="Normal 5 2 3 4 4 2 3" xfId="12410" xr:uid="{F82C391C-EE7D-44E0-AE57-E7F963541636}"/>
    <cellStyle name="Normal 5 2 3 4 4 3" xfId="6044" xr:uid="{00000000-0005-0000-0000-0000B8180000}"/>
    <cellStyle name="Normal 5 2 3 4 4 3 2" xfId="14483" xr:uid="{9009E954-731C-49E0-BB37-FFBB781BB0CE}"/>
    <cellStyle name="Normal 5 2 3 4 4 4" xfId="10265" xr:uid="{E1FD9A33-3224-4903-A415-131DF30BE959}"/>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A8EF6533-18EB-4D1C-A0DB-11B91D2E46A9}"/>
    <cellStyle name="Normal 5 2 3 4 5 2 3" xfId="12823" xr:uid="{B1BC96BA-58D9-4AF5-BC6C-43F364CBC2C2}"/>
    <cellStyle name="Normal 5 2 3 4 5 3" xfId="6457" xr:uid="{00000000-0005-0000-0000-0000BC180000}"/>
    <cellStyle name="Normal 5 2 3 4 5 3 2" xfId="14896" xr:uid="{24E4CEF3-9D64-4D54-A8AF-F69DB589486A}"/>
    <cellStyle name="Normal 5 2 3 4 5 4" xfId="10678" xr:uid="{862AEB22-318E-42B0-B1AE-DD853A11CE05}"/>
    <cellStyle name="Normal 5 2 3 4 6" xfId="2586" xr:uid="{00000000-0005-0000-0000-0000BD180000}"/>
    <cellStyle name="Normal 5 2 3 4 6 2" xfId="6870" xr:uid="{00000000-0005-0000-0000-0000BE180000}"/>
    <cellStyle name="Normal 5 2 3 4 6 2 2" xfId="15309" xr:uid="{5141C998-1364-47B7-AFAD-19FF1F5B9357}"/>
    <cellStyle name="Normal 5 2 3 4 6 3" xfId="11091" xr:uid="{1A82055C-2B18-41BE-B046-BF52F44896E2}"/>
    <cellStyle name="Normal 5 2 3 4 7" xfId="4805" xr:uid="{00000000-0005-0000-0000-0000BF180000}"/>
    <cellStyle name="Normal 5 2 3 4 7 2" xfId="13244" xr:uid="{49238369-9C37-46FB-A2DF-95657338E7CD}"/>
    <cellStyle name="Normal 5 2 3 4 8" xfId="9026" xr:uid="{D3933BCC-FDEA-4EBA-8CEF-31D2F42BA57B}"/>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2017247A-F66B-4DEB-AE61-50DD613117A0}"/>
    <cellStyle name="Normal 5 2 3 5 2 3" xfId="11577" xr:uid="{25C85BB9-10B3-4B38-8F06-BE192AA4B9AE}"/>
    <cellStyle name="Normal 5 2 3 5 3" xfId="5211" xr:uid="{00000000-0005-0000-0000-0000C3180000}"/>
    <cellStyle name="Normal 5 2 3 5 3 2" xfId="13650" xr:uid="{30E4DFCB-EC12-4657-B12E-1B788411D28E}"/>
    <cellStyle name="Normal 5 2 3 5 4" xfId="9432" xr:uid="{85BD0FBB-9203-4157-B37C-39697FFF3429}"/>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C24F5F9D-67D6-4A44-9544-EBB87858F7D3}"/>
    <cellStyle name="Normal 5 2 3 6 2 3" xfId="11990" xr:uid="{4724229E-4183-47C2-B300-8206FADAB2E0}"/>
    <cellStyle name="Normal 5 2 3 6 3" xfId="5624" xr:uid="{00000000-0005-0000-0000-0000C7180000}"/>
    <cellStyle name="Normal 5 2 3 6 3 2" xfId="14063" xr:uid="{E8F60960-4943-48C5-BD40-9BD03B0712AB}"/>
    <cellStyle name="Normal 5 2 3 6 4" xfId="9845" xr:uid="{6BF9E35A-A330-417C-B834-698B2EE1BFF2}"/>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AABDDF2F-234A-4514-8D9A-C7B8A49CB379}"/>
    <cellStyle name="Normal 5 2 3 7 2 3" xfId="12403" xr:uid="{69698253-9269-481C-B30C-28FD3E4103E6}"/>
    <cellStyle name="Normal 5 2 3 7 3" xfId="6037" xr:uid="{00000000-0005-0000-0000-0000CB180000}"/>
    <cellStyle name="Normal 5 2 3 7 3 2" xfId="14476" xr:uid="{F799A4DD-5776-44DF-8849-9A105ABC3555}"/>
    <cellStyle name="Normal 5 2 3 7 4" xfId="10258" xr:uid="{FD039B01-425B-473F-8807-0BE80B43FA1C}"/>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A3418424-7DA5-4927-B8DC-C273FB087CD7}"/>
    <cellStyle name="Normal 5 2 3 8 2 3" xfId="12816" xr:uid="{D4C9B51E-AE15-4E52-9977-885F45D4E795}"/>
    <cellStyle name="Normal 5 2 3 8 3" xfId="6450" xr:uid="{00000000-0005-0000-0000-0000CF180000}"/>
    <cellStyle name="Normal 5 2 3 8 3 2" xfId="14889" xr:uid="{384E1292-9C12-4306-B46F-9E81C9EDF876}"/>
    <cellStyle name="Normal 5 2 3 8 4" xfId="10671" xr:uid="{79893128-10F2-4EC4-8875-1F593F9FFB32}"/>
    <cellStyle name="Normal 5 2 3 9" xfId="2579" xr:uid="{00000000-0005-0000-0000-0000D0180000}"/>
    <cellStyle name="Normal 5 2 3 9 2" xfId="6863" xr:uid="{00000000-0005-0000-0000-0000D1180000}"/>
    <cellStyle name="Normal 5 2 3 9 2 2" xfId="15302" xr:uid="{5AFBAF01-997A-4193-89AD-384525B13369}"/>
    <cellStyle name="Normal 5 2 3 9 3" xfId="11084" xr:uid="{5C55E5E9-A270-4B84-BC21-03E104E6AE51}"/>
    <cellStyle name="Normal 5 2 4" xfId="432" xr:uid="{00000000-0005-0000-0000-0000D2180000}"/>
    <cellStyle name="Normal 5 2 4 10" xfId="9027" xr:uid="{D33520CA-4CC9-4311-AD98-5A076E5E1473}"/>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D90BC689-C6A6-4CEA-AE48-0631D41F10A2}"/>
    <cellStyle name="Normal 5 2 4 2 2 2 2 3" xfId="11587" xr:uid="{D5389801-E258-4412-9AE0-B40556E6C0B7}"/>
    <cellStyle name="Normal 5 2 4 2 2 2 3" xfId="5221" xr:uid="{00000000-0005-0000-0000-0000D8180000}"/>
    <cellStyle name="Normal 5 2 4 2 2 2 3 2" xfId="13660" xr:uid="{14D49019-6AE1-4B33-81FD-F173DAD184B0}"/>
    <cellStyle name="Normal 5 2 4 2 2 2 4" xfId="9442" xr:uid="{29D8801D-E726-4D12-AB96-BCE4D30AEADE}"/>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AD7E70E9-D224-4004-A45A-F856524EA56D}"/>
    <cellStyle name="Normal 5 2 4 2 2 3 2 3" xfId="12000" xr:uid="{C1C913CC-321E-416D-9E77-32E7B95ADD78}"/>
    <cellStyle name="Normal 5 2 4 2 2 3 3" xfId="5634" xr:uid="{00000000-0005-0000-0000-0000DC180000}"/>
    <cellStyle name="Normal 5 2 4 2 2 3 3 2" xfId="14073" xr:uid="{15C6C623-0703-4366-B27E-1B7CF6CF79C5}"/>
    <cellStyle name="Normal 5 2 4 2 2 3 4" xfId="9855" xr:uid="{3779774C-75F5-44DD-93BC-BBAD73C73546}"/>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38135542-141C-4D0D-BB44-FF57EBBDEEC5}"/>
    <cellStyle name="Normal 5 2 4 2 2 4 2 3" xfId="12413" xr:uid="{32A03764-6071-48CF-A4CF-24A2AB19BC5C}"/>
    <cellStyle name="Normal 5 2 4 2 2 4 3" xfId="6047" xr:uid="{00000000-0005-0000-0000-0000E0180000}"/>
    <cellStyle name="Normal 5 2 4 2 2 4 3 2" xfId="14486" xr:uid="{770A9B3C-536C-4AAA-A4FE-1DC7E30B1B48}"/>
    <cellStyle name="Normal 5 2 4 2 2 4 4" xfId="10268" xr:uid="{D7113B91-62EF-42D4-BCDA-64534E591629}"/>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4829797C-3800-406C-9389-8726AF30FB1B}"/>
    <cellStyle name="Normal 5 2 4 2 2 5 2 3" xfId="12826" xr:uid="{E5E0DB84-EFDB-41E6-919A-A970F8EC6416}"/>
    <cellStyle name="Normal 5 2 4 2 2 5 3" xfId="6460" xr:uid="{00000000-0005-0000-0000-0000E4180000}"/>
    <cellStyle name="Normal 5 2 4 2 2 5 3 2" xfId="14899" xr:uid="{896C2632-04CF-451E-8B14-B74A3E9F86AD}"/>
    <cellStyle name="Normal 5 2 4 2 2 5 4" xfId="10681" xr:uid="{8CCCD8B7-7199-4416-B6C4-A111B2B900B3}"/>
    <cellStyle name="Normal 5 2 4 2 2 6" xfId="2589" xr:uid="{00000000-0005-0000-0000-0000E5180000}"/>
    <cellStyle name="Normal 5 2 4 2 2 6 2" xfId="6873" xr:uid="{00000000-0005-0000-0000-0000E6180000}"/>
    <cellStyle name="Normal 5 2 4 2 2 6 2 2" xfId="15312" xr:uid="{2E3F3C05-B996-499A-A8A7-EAD3B7693670}"/>
    <cellStyle name="Normal 5 2 4 2 2 6 3" xfId="11094" xr:uid="{4D6D1D05-F304-4975-9B39-F0E4EC4C5AEC}"/>
    <cellStyle name="Normal 5 2 4 2 2 7" xfId="4808" xr:uid="{00000000-0005-0000-0000-0000E7180000}"/>
    <cellStyle name="Normal 5 2 4 2 2 7 2" xfId="13247" xr:uid="{BEB44899-DC65-49E6-95B1-E6466B244307}"/>
    <cellStyle name="Normal 5 2 4 2 2 8" xfId="9029" xr:uid="{001D5936-3FCE-4E68-8666-CC15B51F1A38}"/>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C62A5934-7BF9-47B1-91A2-107D39F893EB}"/>
    <cellStyle name="Normal 5 2 4 2 3 2 3" xfId="11586" xr:uid="{AA0298AF-52CA-486E-9B7E-52D5298F423B}"/>
    <cellStyle name="Normal 5 2 4 2 3 3" xfId="5220" xr:uid="{00000000-0005-0000-0000-0000EB180000}"/>
    <cellStyle name="Normal 5 2 4 2 3 3 2" xfId="13659" xr:uid="{02D34E24-09D4-46F1-B293-4D0B70FEEB2A}"/>
    <cellStyle name="Normal 5 2 4 2 3 4" xfId="9441" xr:uid="{8C95EA95-3B6C-4B9C-AFF6-6F98FBCC5E4C}"/>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B5767906-2FA7-45A9-BE6E-3DA495D15803}"/>
    <cellStyle name="Normal 5 2 4 2 4 2 3" xfId="11999" xr:uid="{5610894E-2F39-4D38-850A-18970E331DA9}"/>
    <cellStyle name="Normal 5 2 4 2 4 3" xfId="5633" xr:uid="{00000000-0005-0000-0000-0000EF180000}"/>
    <cellStyle name="Normal 5 2 4 2 4 3 2" xfId="14072" xr:uid="{6B9C5887-89E8-411C-AD1A-766F1C8C42BD}"/>
    <cellStyle name="Normal 5 2 4 2 4 4" xfId="9854" xr:uid="{47177621-F00A-4253-A888-4E11E6BFC554}"/>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3A697C14-6EA9-4417-8DBF-28FD2C2BA491}"/>
    <cellStyle name="Normal 5 2 4 2 5 2 3" xfId="12412" xr:uid="{C0620F4E-196F-4048-BA2A-325085AB6E03}"/>
    <cellStyle name="Normal 5 2 4 2 5 3" xfId="6046" xr:uid="{00000000-0005-0000-0000-0000F3180000}"/>
    <cellStyle name="Normal 5 2 4 2 5 3 2" xfId="14485" xr:uid="{37873F58-70ED-4E6E-930B-9D20867AB9CA}"/>
    <cellStyle name="Normal 5 2 4 2 5 4" xfId="10267" xr:uid="{E4B875EF-7E38-4F5C-B14A-1A3F60075D78}"/>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4AB37DF4-6470-48F8-8644-F29AD1A19164}"/>
    <cellStyle name="Normal 5 2 4 2 6 2 3" xfId="12825" xr:uid="{2AFBA5DD-BFB8-4C44-B4AA-9C1480C0A8D1}"/>
    <cellStyle name="Normal 5 2 4 2 6 3" xfId="6459" xr:uid="{00000000-0005-0000-0000-0000F7180000}"/>
    <cellStyle name="Normal 5 2 4 2 6 3 2" xfId="14898" xr:uid="{1309A729-A828-43FE-95D5-F8332B66CA5E}"/>
    <cellStyle name="Normal 5 2 4 2 6 4" xfId="10680" xr:uid="{086DC235-BF1C-4B38-BAE6-7FF562D5C955}"/>
    <cellStyle name="Normal 5 2 4 2 7" xfId="2588" xr:uid="{00000000-0005-0000-0000-0000F8180000}"/>
    <cellStyle name="Normal 5 2 4 2 7 2" xfId="6872" xr:uid="{00000000-0005-0000-0000-0000F9180000}"/>
    <cellStyle name="Normal 5 2 4 2 7 2 2" xfId="15311" xr:uid="{1F22C20F-7C6F-4BF5-8D1F-B14F6DAE584D}"/>
    <cellStyle name="Normal 5 2 4 2 7 3" xfId="11093" xr:uid="{D5DB18E0-B02F-4662-903B-5A2C7AD8117F}"/>
    <cellStyle name="Normal 5 2 4 2 8" xfId="4807" xr:uid="{00000000-0005-0000-0000-0000FA180000}"/>
    <cellStyle name="Normal 5 2 4 2 8 2" xfId="13246" xr:uid="{F13FA33F-30C3-4AA4-97D2-0CDB2EA13FD7}"/>
    <cellStyle name="Normal 5 2 4 2 9" xfId="9028" xr:uid="{EFF840C6-AEE1-4D9C-87FA-3EEC066BA3B9}"/>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422117AA-E6F3-4FF8-BE53-7372E100DD58}"/>
    <cellStyle name="Normal 5 2 4 3 2 2 3" xfId="11588" xr:uid="{F6B12C16-5D4D-49B8-95A0-630EE139F4D7}"/>
    <cellStyle name="Normal 5 2 4 3 2 3" xfId="5222" xr:uid="{00000000-0005-0000-0000-0000FF180000}"/>
    <cellStyle name="Normal 5 2 4 3 2 3 2" xfId="13661" xr:uid="{C7FC9FD1-B4AD-4EE8-90E0-68959174F2CB}"/>
    <cellStyle name="Normal 5 2 4 3 2 4" xfId="9443" xr:uid="{B99A8F57-3DB1-4421-9BE1-719A9981DB38}"/>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31D76091-4D02-42AD-A574-383CCA65ED1B}"/>
    <cellStyle name="Normal 5 2 4 3 3 2 3" xfId="12001" xr:uid="{01FF4897-3BDA-4E91-AB2E-0A82CDA6E135}"/>
    <cellStyle name="Normal 5 2 4 3 3 3" xfId="5635" xr:uid="{00000000-0005-0000-0000-000003190000}"/>
    <cellStyle name="Normal 5 2 4 3 3 3 2" xfId="14074" xr:uid="{18949E47-1729-4156-AC79-D954F3478204}"/>
    <cellStyle name="Normal 5 2 4 3 3 4" xfId="9856" xr:uid="{066E6040-64FC-4096-B070-4AB405B70FDF}"/>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1860AF78-F685-489C-89B5-CE1E6D82FAA6}"/>
    <cellStyle name="Normal 5 2 4 3 4 2 3" xfId="12414" xr:uid="{C8984DD2-5C2F-4128-8D94-2585DC59BBC3}"/>
    <cellStyle name="Normal 5 2 4 3 4 3" xfId="6048" xr:uid="{00000000-0005-0000-0000-000007190000}"/>
    <cellStyle name="Normal 5 2 4 3 4 3 2" xfId="14487" xr:uid="{8AF39F52-1AD7-4898-B33B-B9B6CAB140B2}"/>
    <cellStyle name="Normal 5 2 4 3 4 4" xfId="10269" xr:uid="{9D81A9A1-D008-4A28-AC9E-417F77F807AA}"/>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3EB738F8-ECC0-4808-B50A-69FF9393B1DF}"/>
    <cellStyle name="Normal 5 2 4 3 5 2 3" xfId="12827" xr:uid="{DD4CC473-D796-41B3-92AF-6486D5539E89}"/>
    <cellStyle name="Normal 5 2 4 3 5 3" xfId="6461" xr:uid="{00000000-0005-0000-0000-00000B190000}"/>
    <cellStyle name="Normal 5 2 4 3 5 3 2" xfId="14900" xr:uid="{FC329819-B937-4242-BE76-E39C27BAE576}"/>
    <cellStyle name="Normal 5 2 4 3 5 4" xfId="10682" xr:uid="{90488C7D-FD3C-4986-A677-CA34D493E116}"/>
    <cellStyle name="Normal 5 2 4 3 6" xfId="2590" xr:uid="{00000000-0005-0000-0000-00000C190000}"/>
    <cellStyle name="Normal 5 2 4 3 6 2" xfId="6874" xr:uid="{00000000-0005-0000-0000-00000D190000}"/>
    <cellStyle name="Normal 5 2 4 3 6 2 2" xfId="15313" xr:uid="{4222CA49-3571-4309-A87C-35948194F697}"/>
    <cellStyle name="Normal 5 2 4 3 6 3" xfId="11095" xr:uid="{40162294-CDCE-4183-BD88-C9084D761438}"/>
    <cellStyle name="Normal 5 2 4 3 7" xfId="4809" xr:uid="{00000000-0005-0000-0000-00000E190000}"/>
    <cellStyle name="Normal 5 2 4 3 7 2" xfId="13248" xr:uid="{19421AFB-C1A9-4CFA-8750-7F52EA80B510}"/>
    <cellStyle name="Normal 5 2 4 3 8" xfId="9030" xr:uid="{52EC7BCD-A28D-4C12-94B0-62DB3000ED7D}"/>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DCCFCB40-7483-4754-AF32-1FCBC088E84B}"/>
    <cellStyle name="Normal 5 2 4 4 2 3" xfId="11585" xr:uid="{0821F641-311E-42D0-B23E-B835273CF178}"/>
    <cellStyle name="Normal 5 2 4 4 3" xfId="5219" xr:uid="{00000000-0005-0000-0000-000012190000}"/>
    <cellStyle name="Normal 5 2 4 4 3 2" xfId="13658" xr:uid="{B33D6A5A-EF97-4F1B-B787-20E891D09072}"/>
    <cellStyle name="Normal 5 2 4 4 4" xfId="9440" xr:uid="{9914F6A5-CF77-4528-8DF5-1E89DD9113A2}"/>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E9223336-5F22-4244-B290-6C4AE3E761D2}"/>
    <cellStyle name="Normal 5 2 4 5 2 3" xfId="11998" xr:uid="{32252FC9-6677-41A1-AB3F-2BBC52FCDA9B}"/>
    <cellStyle name="Normal 5 2 4 5 3" xfId="5632" xr:uid="{00000000-0005-0000-0000-000016190000}"/>
    <cellStyle name="Normal 5 2 4 5 3 2" xfId="14071" xr:uid="{1CB45BD9-6D9B-4A28-A697-21198280C30D}"/>
    <cellStyle name="Normal 5 2 4 5 4" xfId="9853" xr:uid="{66431B41-193B-4C6F-B44A-4B597A6D176D}"/>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0B361200-1256-454B-BAC2-E25C1C190B2D}"/>
    <cellStyle name="Normal 5 2 4 6 2 3" xfId="12411" xr:uid="{7F9833AA-D2FD-4BC4-A333-C3938D7C5A03}"/>
    <cellStyle name="Normal 5 2 4 6 3" xfId="6045" xr:uid="{00000000-0005-0000-0000-00001A190000}"/>
    <cellStyle name="Normal 5 2 4 6 3 2" xfId="14484" xr:uid="{F852129A-7DD6-431F-A6F7-764CCFF390E4}"/>
    <cellStyle name="Normal 5 2 4 6 4" xfId="10266" xr:uid="{765F8516-645C-41BF-A22B-3B68B8D40F90}"/>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5B50F4E1-21BB-432B-88D6-6E3E231AD0B8}"/>
    <cellStyle name="Normal 5 2 4 7 2 3" xfId="12824" xr:uid="{59DC18B0-B84E-44CD-8E42-3FFC0C2C5647}"/>
    <cellStyle name="Normal 5 2 4 7 3" xfId="6458" xr:uid="{00000000-0005-0000-0000-00001E190000}"/>
    <cellStyle name="Normal 5 2 4 7 3 2" xfId="14897" xr:uid="{82E5796D-DA73-42E4-9B2B-6FEFE535721A}"/>
    <cellStyle name="Normal 5 2 4 7 4" xfId="10679" xr:uid="{932F47E6-F8C7-4058-936B-2A7A6E03C4E8}"/>
    <cellStyle name="Normal 5 2 4 8" xfId="2587" xr:uid="{00000000-0005-0000-0000-00001F190000}"/>
    <cellStyle name="Normal 5 2 4 8 2" xfId="6871" xr:uid="{00000000-0005-0000-0000-000020190000}"/>
    <cellStyle name="Normal 5 2 4 8 2 2" xfId="15310" xr:uid="{06864533-751A-4987-9458-096AFEABB8B9}"/>
    <cellStyle name="Normal 5 2 4 8 3" xfId="11092" xr:uid="{8994CFEB-BB5D-4FB7-9E75-6166491E234F}"/>
    <cellStyle name="Normal 5 2 4 9" xfId="4806" xr:uid="{00000000-0005-0000-0000-000021190000}"/>
    <cellStyle name="Normal 5 2 4 9 2" xfId="13245" xr:uid="{ED5CBC02-365E-4BB6-A901-6C5A55852B88}"/>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38DF9759-40AF-4FB5-9FAD-D9C571765B14}"/>
    <cellStyle name="Normal 5 2 5 2 2 2 3" xfId="11590" xr:uid="{FACE9733-C548-4769-B337-16BC3AD18A4C}"/>
    <cellStyle name="Normal 5 2 5 2 2 3" xfId="5224" xr:uid="{00000000-0005-0000-0000-000027190000}"/>
    <cellStyle name="Normal 5 2 5 2 2 3 2" xfId="13663" xr:uid="{D66EAF4F-62D3-439D-8101-FBB6D0472A1D}"/>
    <cellStyle name="Normal 5 2 5 2 2 4" xfId="9445" xr:uid="{8F88F580-3C6C-496D-84B9-CDB69D5ED5A8}"/>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35FBAD06-7D41-4DE7-878E-89B5B7861DA1}"/>
    <cellStyle name="Normal 5 2 5 2 3 2 3" xfId="12003" xr:uid="{9A95E441-4CBD-444E-BC42-491F7275C1A7}"/>
    <cellStyle name="Normal 5 2 5 2 3 3" xfId="5637" xr:uid="{00000000-0005-0000-0000-00002B190000}"/>
    <cellStyle name="Normal 5 2 5 2 3 3 2" xfId="14076" xr:uid="{3081A96E-DF4B-4379-9087-7C23940FB81F}"/>
    <cellStyle name="Normal 5 2 5 2 3 4" xfId="9858" xr:uid="{BE147D5E-62F9-4067-A15A-66DD9894CC9E}"/>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604333C3-5C21-471B-B12A-87B74174DC06}"/>
    <cellStyle name="Normal 5 2 5 2 4 2 3" xfId="12416" xr:uid="{1A0574EC-8F36-41DD-9885-A84D1A98B469}"/>
    <cellStyle name="Normal 5 2 5 2 4 3" xfId="6050" xr:uid="{00000000-0005-0000-0000-00002F190000}"/>
    <cellStyle name="Normal 5 2 5 2 4 3 2" xfId="14489" xr:uid="{672BBB1C-1A67-4E78-BCCF-4E8872B0513E}"/>
    <cellStyle name="Normal 5 2 5 2 4 4" xfId="10271" xr:uid="{78C8B56E-5FC8-412C-9C05-E6D36064D81F}"/>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51485149-56FB-4C04-A5D4-64B24A27FA94}"/>
    <cellStyle name="Normal 5 2 5 2 5 2 3" xfId="12829" xr:uid="{4FD5BDB4-526F-4AC9-9B41-E9D48F296024}"/>
    <cellStyle name="Normal 5 2 5 2 5 3" xfId="6463" xr:uid="{00000000-0005-0000-0000-000033190000}"/>
    <cellStyle name="Normal 5 2 5 2 5 3 2" xfId="14902" xr:uid="{E590BD4E-3B03-415C-B472-35E4323D390E}"/>
    <cellStyle name="Normal 5 2 5 2 5 4" xfId="10684" xr:uid="{134818D4-8E47-42C9-A46C-31FB5452EE7D}"/>
    <cellStyle name="Normal 5 2 5 2 6" xfId="2592" xr:uid="{00000000-0005-0000-0000-000034190000}"/>
    <cellStyle name="Normal 5 2 5 2 6 2" xfId="6876" xr:uid="{00000000-0005-0000-0000-000035190000}"/>
    <cellStyle name="Normal 5 2 5 2 6 2 2" xfId="15315" xr:uid="{B3561855-C56D-418A-84F3-29D9CE29CFDF}"/>
    <cellStyle name="Normal 5 2 5 2 6 3" xfId="11097" xr:uid="{E6F4C4CA-B71E-4DA1-ABED-A0DA0D66C3A9}"/>
    <cellStyle name="Normal 5 2 5 2 7" xfId="4811" xr:uid="{00000000-0005-0000-0000-000036190000}"/>
    <cellStyle name="Normal 5 2 5 2 7 2" xfId="13250" xr:uid="{B8A901A4-D6EE-43A7-8AA0-26BD94DA7C8A}"/>
    <cellStyle name="Normal 5 2 5 2 8" xfId="9032" xr:uid="{6F85233B-3EDF-4E23-B848-4FD0BD95C6D4}"/>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A438CE79-55F6-48EF-A4F9-5290D0FAF254}"/>
    <cellStyle name="Normal 5 2 5 3 2 3" xfId="11589" xr:uid="{18C54AB8-C4D1-48AB-8214-76C110D89A33}"/>
    <cellStyle name="Normal 5 2 5 3 3" xfId="5223" xr:uid="{00000000-0005-0000-0000-00003A190000}"/>
    <cellStyle name="Normal 5 2 5 3 3 2" xfId="13662" xr:uid="{3AB29ED2-60B8-4D26-BBC5-1A451C5A6112}"/>
    <cellStyle name="Normal 5 2 5 3 4" xfId="9444" xr:uid="{74C07C7C-8B83-451D-BD58-C8ED644A2FF0}"/>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749B832A-6276-460C-971F-02CE181BA9B3}"/>
    <cellStyle name="Normal 5 2 5 4 2 3" xfId="12002" xr:uid="{5929A8B5-D094-4662-A7A3-64846DA5659E}"/>
    <cellStyle name="Normal 5 2 5 4 3" xfId="5636" xr:uid="{00000000-0005-0000-0000-00003E190000}"/>
    <cellStyle name="Normal 5 2 5 4 3 2" xfId="14075" xr:uid="{49AFB1F6-666F-4F5D-BFA9-344A810020EE}"/>
    <cellStyle name="Normal 5 2 5 4 4" xfId="9857" xr:uid="{2CA8F343-656B-4795-9CA2-7175EA73BFA4}"/>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4D6EB603-A867-4C31-A164-9359BCF96320}"/>
    <cellStyle name="Normal 5 2 5 5 2 3" xfId="12415" xr:uid="{FDF7DFE7-BE25-46F4-A167-73618B5E964D}"/>
    <cellStyle name="Normal 5 2 5 5 3" xfId="6049" xr:uid="{00000000-0005-0000-0000-000042190000}"/>
    <cellStyle name="Normal 5 2 5 5 3 2" xfId="14488" xr:uid="{568A3EA8-40A2-4765-A91D-2EB32B8B4877}"/>
    <cellStyle name="Normal 5 2 5 5 4" xfId="10270" xr:uid="{0FDA137E-CD89-4D58-A19D-34A1DE09396A}"/>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E657D724-2775-4ED7-830A-9F4A00219D98}"/>
    <cellStyle name="Normal 5 2 5 6 2 3" xfId="12828" xr:uid="{9BEABEED-E29A-4D27-AA81-FD48389A8A9C}"/>
    <cellStyle name="Normal 5 2 5 6 3" xfId="6462" xr:uid="{00000000-0005-0000-0000-000046190000}"/>
    <cellStyle name="Normal 5 2 5 6 3 2" xfId="14901" xr:uid="{F99A009E-8D09-4C41-82E7-985C9978CE46}"/>
    <cellStyle name="Normal 5 2 5 6 4" xfId="10683" xr:uid="{AAE025BD-802E-4F4E-BA76-D563E8C0DDCB}"/>
    <cellStyle name="Normal 5 2 5 7" xfId="2591" xr:uid="{00000000-0005-0000-0000-000047190000}"/>
    <cellStyle name="Normal 5 2 5 7 2" xfId="6875" xr:uid="{00000000-0005-0000-0000-000048190000}"/>
    <cellStyle name="Normal 5 2 5 7 2 2" xfId="15314" xr:uid="{0E15CB79-12FB-41AD-990B-508227B34C36}"/>
    <cellStyle name="Normal 5 2 5 7 3" xfId="11096" xr:uid="{5D379BC5-3B30-44BE-A6BE-998819D1C244}"/>
    <cellStyle name="Normal 5 2 5 8" xfId="4810" xr:uid="{00000000-0005-0000-0000-000049190000}"/>
    <cellStyle name="Normal 5 2 5 8 2" xfId="13249" xr:uid="{A4FFB18B-9C86-49BD-94C2-8105AA3CC0C5}"/>
    <cellStyle name="Normal 5 2 5 9" xfId="9031" xr:uid="{B4E4B41D-0754-42DF-BECF-73A7F7DEF303}"/>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EE0E80F2-30E8-42F4-9853-D03A8AC1EED1}"/>
    <cellStyle name="Normal 5 2 6 2 2 3" xfId="11591" xr:uid="{08BE5947-AD0C-45B3-894E-7745B43D1B4B}"/>
    <cellStyle name="Normal 5 2 6 2 3" xfId="5225" xr:uid="{00000000-0005-0000-0000-00004E190000}"/>
    <cellStyle name="Normal 5 2 6 2 3 2" xfId="13664" xr:uid="{77838460-4ADC-4F81-BF76-21C560D276C3}"/>
    <cellStyle name="Normal 5 2 6 2 4" xfId="9446" xr:uid="{6325179E-61BF-489C-8916-A4D6D2CCDC56}"/>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5440E092-DFF9-44A2-BAC7-C0D76DEAFC71}"/>
    <cellStyle name="Normal 5 2 6 3 2 3" xfId="12004" xr:uid="{98AB0A26-8B31-469A-A302-2169683610DE}"/>
    <cellStyle name="Normal 5 2 6 3 3" xfId="5638" xr:uid="{00000000-0005-0000-0000-000052190000}"/>
    <cellStyle name="Normal 5 2 6 3 3 2" xfId="14077" xr:uid="{2FB1EEA6-3041-4EEB-A8F4-0BAAC7C416ED}"/>
    <cellStyle name="Normal 5 2 6 3 4" xfId="9859" xr:uid="{23F475F4-B763-445B-A2B6-EFCCB9C2AE58}"/>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B9B0C3C9-2B19-4709-98C6-0A67025B2C64}"/>
    <cellStyle name="Normal 5 2 6 4 2 3" xfId="12417" xr:uid="{DD48EC9F-DBC0-47D9-8B0B-E2AA4D610D05}"/>
    <cellStyle name="Normal 5 2 6 4 3" xfId="6051" xr:uid="{00000000-0005-0000-0000-000056190000}"/>
    <cellStyle name="Normal 5 2 6 4 3 2" xfId="14490" xr:uid="{496A6575-0972-4F34-8DA8-B7E8A262F25B}"/>
    <cellStyle name="Normal 5 2 6 4 4" xfId="10272" xr:uid="{905F68F0-8DCB-44DB-A180-919AE85E4098}"/>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85B463BD-3E12-418A-B40C-8557BBCE4944}"/>
    <cellStyle name="Normal 5 2 6 5 2 3" xfId="12830" xr:uid="{AE429FDA-65AC-46F5-9F65-2751B32908C9}"/>
    <cellStyle name="Normal 5 2 6 5 3" xfId="6464" xr:uid="{00000000-0005-0000-0000-00005A190000}"/>
    <cellStyle name="Normal 5 2 6 5 3 2" xfId="14903" xr:uid="{374C81CA-6CDB-4319-9D9D-253FE7CECCF3}"/>
    <cellStyle name="Normal 5 2 6 5 4" xfId="10685" xr:uid="{36D0387E-8345-46E9-9083-49B05F52DEFB}"/>
    <cellStyle name="Normal 5 2 6 6" xfId="2593" xr:uid="{00000000-0005-0000-0000-00005B190000}"/>
    <cellStyle name="Normal 5 2 6 6 2" xfId="6877" xr:uid="{00000000-0005-0000-0000-00005C190000}"/>
    <cellStyle name="Normal 5 2 6 6 2 2" xfId="15316" xr:uid="{D55C7A14-C33E-4720-9C3A-DEB5802F21F1}"/>
    <cellStyle name="Normal 5 2 6 6 3" xfId="11098" xr:uid="{7D2E4272-F8DF-4DE1-B70D-A308B26917FD}"/>
    <cellStyle name="Normal 5 2 6 7" xfId="4812" xr:uid="{00000000-0005-0000-0000-00005D190000}"/>
    <cellStyle name="Normal 5 2 6 7 2" xfId="13251" xr:uid="{F02F11EA-8E5C-4ACE-B3D3-4CF5F39DFEAF}"/>
    <cellStyle name="Normal 5 2 6 8" xfId="9033" xr:uid="{02289F94-D446-46A2-A942-F100FC796EFF}"/>
    <cellStyle name="Normal 5 2 7" xfId="881" xr:uid="{00000000-0005-0000-0000-00005E190000}"/>
    <cellStyle name="Normal 5 2 7 2" xfId="3116" xr:uid="{00000000-0005-0000-0000-00005F190000}"/>
    <cellStyle name="Normal 5 2 7 2 2" xfId="7339" xr:uid="{00000000-0005-0000-0000-000060190000}"/>
    <cellStyle name="Normal 5 2 7 2 2 2" xfId="15778" xr:uid="{50DF27AD-F6D3-455C-904F-8B1259AD3667}"/>
    <cellStyle name="Normal 5 2 7 2 3" xfId="11560" xr:uid="{F62B7F6F-B041-4BEF-B39C-DE0C716D8E30}"/>
    <cellStyle name="Normal 5 2 7 3" xfId="5194" xr:uid="{00000000-0005-0000-0000-000061190000}"/>
    <cellStyle name="Normal 5 2 7 3 2" xfId="13633" xr:uid="{E8580729-2AC8-4324-8168-144F25F75387}"/>
    <cellStyle name="Normal 5 2 7 4" xfId="9415" xr:uid="{DDF20060-396D-4E7C-B78D-B3459E299B64}"/>
    <cellStyle name="Normal 5 2 8" xfId="1299" xr:uid="{00000000-0005-0000-0000-000062190000}"/>
    <cellStyle name="Normal 5 2 8 2" xfId="3529" xr:uid="{00000000-0005-0000-0000-000063190000}"/>
    <cellStyle name="Normal 5 2 8 2 2" xfId="7752" xr:uid="{00000000-0005-0000-0000-000064190000}"/>
    <cellStyle name="Normal 5 2 8 2 2 2" xfId="16191" xr:uid="{778E024E-E41E-442F-A197-414B1F9EC1C7}"/>
    <cellStyle name="Normal 5 2 8 2 3" xfId="11973" xr:uid="{E4789091-95F6-4DE5-A37B-72550F2153D1}"/>
    <cellStyle name="Normal 5 2 8 3" xfId="5607" xr:uid="{00000000-0005-0000-0000-000065190000}"/>
    <cellStyle name="Normal 5 2 8 3 2" xfId="14046" xr:uid="{18B26428-0450-4545-B3CC-69CA580ACE14}"/>
    <cellStyle name="Normal 5 2 8 4" xfId="9828" xr:uid="{FD2B62EE-4A59-4C6D-B2F4-4C2F3F68372E}"/>
    <cellStyle name="Normal 5 2 9" xfId="1712" xr:uid="{00000000-0005-0000-0000-000066190000}"/>
    <cellStyle name="Normal 5 2 9 2" xfId="3942" xr:uid="{00000000-0005-0000-0000-000067190000}"/>
    <cellStyle name="Normal 5 2 9 2 2" xfId="8165" xr:uid="{00000000-0005-0000-0000-000068190000}"/>
    <cellStyle name="Normal 5 2 9 2 2 2" xfId="16604" xr:uid="{9591DB02-FCDD-4C5E-B72B-54D9E955A43F}"/>
    <cellStyle name="Normal 5 2 9 2 3" xfId="12386" xr:uid="{907AAB9A-895F-4BA4-9588-2F29693DF186}"/>
    <cellStyle name="Normal 5 2 9 3" xfId="6020" xr:uid="{00000000-0005-0000-0000-000069190000}"/>
    <cellStyle name="Normal 5 2 9 3 2" xfId="14459" xr:uid="{FD63E591-C4EE-4A63-82A2-B02974BF51AF}"/>
    <cellStyle name="Normal 5 2 9 4" xfId="10241" xr:uid="{1CC2F282-ABCC-43B9-BCBF-61EC95566BBB}"/>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5E5A6F12-C9B9-4D64-9151-EA8E11255D21}"/>
    <cellStyle name="Normal 5 3 10 2 3" xfId="12831" xr:uid="{0D615A6B-0BB6-4040-BC6F-C081B77D1F9B}"/>
    <cellStyle name="Normal 5 3 10 3" xfId="6465" xr:uid="{00000000-0005-0000-0000-00006E190000}"/>
    <cellStyle name="Normal 5 3 10 3 2" xfId="14904" xr:uid="{AB61608A-0CDC-4532-A11A-BAAC233ADCF0}"/>
    <cellStyle name="Normal 5 3 10 4" xfId="10686" xr:uid="{386C07C2-9E51-49BE-854F-462A91D0D25D}"/>
    <cellStyle name="Normal 5 3 11" xfId="2594" xr:uid="{00000000-0005-0000-0000-00006F190000}"/>
    <cellStyle name="Normal 5 3 11 2" xfId="6878" xr:uid="{00000000-0005-0000-0000-000070190000}"/>
    <cellStyle name="Normal 5 3 11 2 2" xfId="15317" xr:uid="{B1F3A447-D02F-48D2-B189-E237C0D9B540}"/>
    <cellStyle name="Normal 5 3 11 3" xfId="11099" xr:uid="{32C1FF89-430A-4585-B75A-A88BC219AC68}"/>
    <cellStyle name="Normal 5 3 12" xfId="4813" xr:uid="{00000000-0005-0000-0000-000071190000}"/>
    <cellStyle name="Normal 5 3 12 2" xfId="13252" xr:uid="{4E3AE834-3E5F-4A10-AD08-69240AC0D017}"/>
    <cellStyle name="Normal 5 3 13" xfId="9034" xr:uid="{D06D0CB2-6E56-4701-9111-F22FB0A19F7F}"/>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8FDD073C-49D6-43C0-9587-AC912651465D}"/>
    <cellStyle name="Normal 5 3 3 11" xfId="9035" xr:uid="{7E99649D-29B0-4A72-B2EE-75D296A92E4C}"/>
    <cellStyle name="Normal 5 3 3 2" xfId="442" xr:uid="{00000000-0005-0000-0000-000076190000}"/>
    <cellStyle name="Normal 5 3 3 2 10" xfId="9036" xr:uid="{E7A71708-C0E6-4BB9-87F0-EA3CECC164B7}"/>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A654D49F-DDDC-413D-9445-003852F2139C}"/>
    <cellStyle name="Normal 5 3 3 2 2 2 2 2 3" xfId="11596" xr:uid="{FC927BEE-165D-4F3D-BDF3-D387DB1382BB}"/>
    <cellStyle name="Normal 5 3 3 2 2 2 2 3" xfId="5230" xr:uid="{00000000-0005-0000-0000-00007C190000}"/>
    <cellStyle name="Normal 5 3 3 2 2 2 2 3 2" xfId="13669" xr:uid="{9B256258-5FBC-42B9-A894-7874886E3CE7}"/>
    <cellStyle name="Normal 5 3 3 2 2 2 2 4" xfId="9451" xr:uid="{9CF644E2-DDAC-4D41-81F1-F24F1A93F548}"/>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51EB5891-8280-4C18-981C-DA40B98AC00E}"/>
    <cellStyle name="Normal 5 3 3 2 2 2 3 2 3" xfId="12009" xr:uid="{3F012C10-1E3E-472E-A3AF-8258E71AF6A9}"/>
    <cellStyle name="Normal 5 3 3 2 2 2 3 3" xfId="5643" xr:uid="{00000000-0005-0000-0000-000080190000}"/>
    <cellStyle name="Normal 5 3 3 2 2 2 3 3 2" xfId="14082" xr:uid="{F413ABEC-E5CB-46DE-8B09-6B52026B704F}"/>
    <cellStyle name="Normal 5 3 3 2 2 2 3 4" xfId="9864" xr:uid="{360B1783-9194-49AB-861E-A41AE4635BF1}"/>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32532C31-80E3-4AA6-8254-72F0860BC3BD}"/>
    <cellStyle name="Normal 5 3 3 2 2 2 4 2 3" xfId="12422" xr:uid="{0090A611-9DF8-4212-9F6B-E75412853A59}"/>
    <cellStyle name="Normal 5 3 3 2 2 2 4 3" xfId="6056" xr:uid="{00000000-0005-0000-0000-000084190000}"/>
    <cellStyle name="Normal 5 3 3 2 2 2 4 3 2" xfId="14495" xr:uid="{36FD1CF6-F0FE-4A00-940A-93C3D9AA9257}"/>
    <cellStyle name="Normal 5 3 3 2 2 2 4 4" xfId="10277" xr:uid="{A7A7EDB8-8823-469E-AC6C-C5177AEE439C}"/>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CA0B4B95-DAC1-4F73-BA43-5C9F1608E27B}"/>
    <cellStyle name="Normal 5 3 3 2 2 2 5 2 3" xfId="12835" xr:uid="{7B171D55-9A87-4930-9328-E5047192D7AE}"/>
    <cellStyle name="Normal 5 3 3 2 2 2 5 3" xfId="6469" xr:uid="{00000000-0005-0000-0000-000088190000}"/>
    <cellStyle name="Normal 5 3 3 2 2 2 5 3 2" xfId="14908" xr:uid="{C6E58761-6877-4EFE-906F-8CC1488C6012}"/>
    <cellStyle name="Normal 5 3 3 2 2 2 5 4" xfId="10690" xr:uid="{72B4E25E-8C80-414E-90E3-04C3BBAC36F9}"/>
    <cellStyle name="Normal 5 3 3 2 2 2 6" xfId="2598" xr:uid="{00000000-0005-0000-0000-000089190000}"/>
    <cellStyle name="Normal 5 3 3 2 2 2 6 2" xfId="6882" xr:uid="{00000000-0005-0000-0000-00008A190000}"/>
    <cellStyle name="Normal 5 3 3 2 2 2 6 2 2" xfId="15321" xr:uid="{C5402FBC-C8EB-4EE7-B1C6-DBADDEFCA30B}"/>
    <cellStyle name="Normal 5 3 3 2 2 2 6 3" xfId="11103" xr:uid="{8AF097ED-A22C-413A-99F3-1F50C3CC8B24}"/>
    <cellStyle name="Normal 5 3 3 2 2 2 7" xfId="4817" xr:uid="{00000000-0005-0000-0000-00008B190000}"/>
    <cellStyle name="Normal 5 3 3 2 2 2 7 2" xfId="13256" xr:uid="{A2EE9920-5B2D-4D2B-9EC4-BC4BF286DD8D}"/>
    <cellStyle name="Normal 5 3 3 2 2 2 8" xfId="9038" xr:uid="{22E5B903-0C18-4A64-895D-421994686293}"/>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A89A050C-3EFD-4FF3-AF9F-30930638D2B6}"/>
    <cellStyle name="Normal 5 3 3 2 2 3 2 3" xfId="11595" xr:uid="{CAB42B5C-BA4D-4F06-9DFD-2D8401386C4D}"/>
    <cellStyle name="Normal 5 3 3 2 2 3 3" xfId="5229" xr:uid="{00000000-0005-0000-0000-00008F190000}"/>
    <cellStyle name="Normal 5 3 3 2 2 3 3 2" xfId="13668" xr:uid="{3DF90776-F502-45EA-9519-2DFE86B083C8}"/>
    <cellStyle name="Normal 5 3 3 2 2 3 4" xfId="9450" xr:uid="{4F912160-565E-4962-9C4A-6EB2EF09BB9C}"/>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D5EA91EA-F25A-44E9-8C78-063FBEA12619}"/>
    <cellStyle name="Normal 5 3 3 2 2 4 2 3" xfId="12008" xr:uid="{55AF5C81-E3DD-437C-9CD6-6E807D31C1D9}"/>
    <cellStyle name="Normal 5 3 3 2 2 4 3" xfId="5642" xr:uid="{00000000-0005-0000-0000-000093190000}"/>
    <cellStyle name="Normal 5 3 3 2 2 4 3 2" xfId="14081" xr:uid="{DB513272-3BB9-45AE-A83B-220EB09BEB3F}"/>
    <cellStyle name="Normal 5 3 3 2 2 4 4" xfId="9863" xr:uid="{2AA1C7DD-AC7E-4955-943F-4E8DC3A52E72}"/>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325B4F0E-F35D-457F-B11F-856A162AF8F5}"/>
    <cellStyle name="Normal 5 3 3 2 2 5 2 3" xfId="12421" xr:uid="{D9DD5047-8FDF-41C0-ACAA-4D707E3E92A7}"/>
    <cellStyle name="Normal 5 3 3 2 2 5 3" xfId="6055" xr:uid="{00000000-0005-0000-0000-000097190000}"/>
    <cellStyle name="Normal 5 3 3 2 2 5 3 2" xfId="14494" xr:uid="{F136225F-EC92-4DE3-AAEE-DF62002ADCBE}"/>
    <cellStyle name="Normal 5 3 3 2 2 5 4" xfId="10276" xr:uid="{FA95D16D-F823-4DD8-9A77-5DF18E13DC61}"/>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BC42C18D-2D07-4E09-AEA3-19A4C371C06B}"/>
    <cellStyle name="Normal 5 3 3 2 2 6 2 3" xfId="12834" xr:uid="{DF167B5F-F494-415D-8CD1-DA5410DC8DF6}"/>
    <cellStyle name="Normal 5 3 3 2 2 6 3" xfId="6468" xr:uid="{00000000-0005-0000-0000-00009B190000}"/>
    <cellStyle name="Normal 5 3 3 2 2 6 3 2" xfId="14907" xr:uid="{128B6943-0977-4CE1-B6CE-2DF630540225}"/>
    <cellStyle name="Normal 5 3 3 2 2 6 4" xfId="10689" xr:uid="{0DF11ADA-56F5-49FF-B9D6-E3D907C3F1D7}"/>
    <cellStyle name="Normal 5 3 3 2 2 7" xfId="2597" xr:uid="{00000000-0005-0000-0000-00009C190000}"/>
    <cellStyle name="Normal 5 3 3 2 2 7 2" xfId="6881" xr:uid="{00000000-0005-0000-0000-00009D190000}"/>
    <cellStyle name="Normal 5 3 3 2 2 7 2 2" xfId="15320" xr:uid="{C3A3B6A6-988F-4625-8001-91E3F354FE8D}"/>
    <cellStyle name="Normal 5 3 3 2 2 7 3" xfId="11102" xr:uid="{B8375156-E065-4CD5-BCC0-39C0C5EBB963}"/>
    <cellStyle name="Normal 5 3 3 2 2 8" xfId="4816" xr:uid="{00000000-0005-0000-0000-00009E190000}"/>
    <cellStyle name="Normal 5 3 3 2 2 8 2" xfId="13255" xr:uid="{EC57FA3D-D737-4AA7-BE1B-5BEBB27FB5E9}"/>
    <cellStyle name="Normal 5 3 3 2 2 9" xfId="9037" xr:uid="{6C2E248B-3B2F-4875-AB2E-1598B697CDA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108A2083-EA27-441F-AE6A-D0F33AA57D1A}"/>
    <cellStyle name="Normal 5 3 3 2 3 2 2 3" xfId="11597" xr:uid="{CB1E5518-6750-43DA-ACF1-DD18651801D9}"/>
    <cellStyle name="Normal 5 3 3 2 3 2 3" xfId="5231" xr:uid="{00000000-0005-0000-0000-0000A3190000}"/>
    <cellStyle name="Normal 5 3 3 2 3 2 3 2" xfId="13670" xr:uid="{6999C303-D3A6-4340-8260-F3A96FE34EDC}"/>
    <cellStyle name="Normal 5 3 3 2 3 2 4" xfId="9452" xr:uid="{434AB9D2-2C19-4B68-9109-96603DCC6B48}"/>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3B80CD44-B442-4509-94ED-33FBAF0187BC}"/>
    <cellStyle name="Normal 5 3 3 2 3 3 2 3" xfId="12010" xr:uid="{E28818A3-F9EB-439C-9361-C39BDC39F166}"/>
    <cellStyle name="Normal 5 3 3 2 3 3 3" xfId="5644" xr:uid="{00000000-0005-0000-0000-0000A7190000}"/>
    <cellStyle name="Normal 5 3 3 2 3 3 3 2" xfId="14083" xr:uid="{5C429136-251E-4008-B800-0F749820F4CA}"/>
    <cellStyle name="Normal 5 3 3 2 3 3 4" xfId="9865" xr:uid="{70862DF7-8AE9-40F0-B144-3DCE2E49C20B}"/>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5D3479A0-5FD7-454C-BB98-4C8FD4630A6C}"/>
    <cellStyle name="Normal 5 3 3 2 3 4 2 3" xfId="12423" xr:uid="{D315C174-4AE7-4781-9AB4-AD0554082E7C}"/>
    <cellStyle name="Normal 5 3 3 2 3 4 3" xfId="6057" xr:uid="{00000000-0005-0000-0000-0000AB190000}"/>
    <cellStyle name="Normal 5 3 3 2 3 4 3 2" xfId="14496" xr:uid="{450AEDCB-AC3F-4BFF-87F8-4168B66DE4AF}"/>
    <cellStyle name="Normal 5 3 3 2 3 4 4" xfId="10278" xr:uid="{DD2B3072-E771-4042-A0CE-0DC689C463D7}"/>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0D76526E-03F5-4044-9C0E-9483EC4E8B8F}"/>
    <cellStyle name="Normal 5 3 3 2 3 5 2 3" xfId="12836" xr:uid="{D622C9DF-B88C-494E-8436-C81CF70EFC89}"/>
    <cellStyle name="Normal 5 3 3 2 3 5 3" xfId="6470" xr:uid="{00000000-0005-0000-0000-0000AF190000}"/>
    <cellStyle name="Normal 5 3 3 2 3 5 3 2" xfId="14909" xr:uid="{3E66864F-11EE-4E2B-9183-CB3A58CB4CCD}"/>
    <cellStyle name="Normal 5 3 3 2 3 5 4" xfId="10691" xr:uid="{FFDF2D6D-CE26-42C6-9950-B9F03A7918CD}"/>
    <cellStyle name="Normal 5 3 3 2 3 6" xfId="2599" xr:uid="{00000000-0005-0000-0000-0000B0190000}"/>
    <cellStyle name="Normal 5 3 3 2 3 6 2" xfId="6883" xr:uid="{00000000-0005-0000-0000-0000B1190000}"/>
    <cellStyle name="Normal 5 3 3 2 3 6 2 2" xfId="15322" xr:uid="{47A40685-F94B-4BAC-87F1-2C864DAC3583}"/>
    <cellStyle name="Normal 5 3 3 2 3 6 3" xfId="11104" xr:uid="{1B43AD90-C1C6-420A-BA72-336FB9477F80}"/>
    <cellStyle name="Normal 5 3 3 2 3 7" xfId="4818" xr:uid="{00000000-0005-0000-0000-0000B2190000}"/>
    <cellStyle name="Normal 5 3 3 2 3 7 2" xfId="13257" xr:uid="{209D9716-D7E4-42CE-ABC5-9DF47B23E483}"/>
    <cellStyle name="Normal 5 3 3 2 3 8" xfId="9039" xr:uid="{DE74170C-73D6-46FA-A56F-4D131550DFAF}"/>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195464FF-105C-4237-B341-6DC1E9E50175}"/>
    <cellStyle name="Normal 5 3 3 2 4 2 3" xfId="11594" xr:uid="{17C1C478-73B9-42AC-9CB9-24191F1CF786}"/>
    <cellStyle name="Normal 5 3 3 2 4 3" xfId="5228" xr:uid="{00000000-0005-0000-0000-0000B6190000}"/>
    <cellStyle name="Normal 5 3 3 2 4 3 2" xfId="13667" xr:uid="{EF8C4AE4-BC9A-471D-A77B-61C4A9E72615}"/>
    <cellStyle name="Normal 5 3 3 2 4 4" xfId="9449" xr:uid="{096510A1-481A-45C9-BC0D-1E1D35294D2E}"/>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E07DB94B-BBAE-4AA6-9630-65F217050816}"/>
    <cellStyle name="Normal 5 3 3 2 5 2 3" xfId="12007" xr:uid="{1E085052-3FF3-4692-BE18-C90D3BD3753D}"/>
    <cellStyle name="Normal 5 3 3 2 5 3" xfId="5641" xr:uid="{00000000-0005-0000-0000-0000BA190000}"/>
    <cellStyle name="Normal 5 3 3 2 5 3 2" xfId="14080" xr:uid="{F94DC29E-033A-44D0-82C9-5F63702A12F0}"/>
    <cellStyle name="Normal 5 3 3 2 5 4" xfId="9862" xr:uid="{F866FB2E-2BB3-4EAA-A187-F1DEE67B8928}"/>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2F5CFC78-176F-4CF5-A517-CD457599B8FE}"/>
    <cellStyle name="Normal 5 3 3 2 6 2 3" xfId="12420" xr:uid="{0A6489D1-1FBC-463C-AFDD-8F40F799E851}"/>
    <cellStyle name="Normal 5 3 3 2 6 3" xfId="6054" xr:uid="{00000000-0005-0000-0000-0000BE190000}"/>
    <cellStyle name="Normal 5 3 3 2 6 3 2" xfId="14493" xr:uid="{DFF2E52D-0DB5-44DF-A2D3-5307E240094A}"/>
    <cellStyle name="Normal 5 3 3 2 6 4" xfId="10275" xr:uid="{066A304B-247C-4961-AD92-696B20C2E842}"/>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6F02DFCF-85F4-47ED-9E57-0E95D6A59537}"/>
    <cellStyle name="Normal 5 3 3 2 7 2 3" xfId="12833" xr:uid="{1CDD0411-2B72-416B-B6AC-B536E582FA19}"/>
    <cellStyle name="Normal 5 3 3 2 7 3" xfId="6467" xr:uid="{00000000-0005-0000-0000-0000C2190000}"/>
    <cellStyle name="Normal 5 3 3 2 7 3 2" xfId="14906" xr:uid="{0E04E341-484B-45DF-9ECC-65B6B826BE6D}"/>
    <cellStyle name="Normal 5 3 3 2 7 4" xfId="10688" xr:uid="{F069E671-80E4-48D3-B3D3-4F8161410BE9}"/>
    <cellStyle name="Normal 5 3 3 2 8" xfId="2596" xr:uid="{00000000-0005-0000-0000-0000C3190000}"/>
    <cellStyle name="Normal 5 3 3 2 8 2" xfId="6880" xr:uid="{00000000-0005-0000-0000-0000C4190000}"/>
    <cellStyle name="Normal 5 3 3 2 8 2 2" xfId="15319" xr:uid="{8C322F53-418E-4441-A365-B68637C96A44}"/>
    <cellStyle name="Normal 5 3 3 2 8 3" xfId="11101" xr:uid="{7B2D231F-4D57-429B-91EC-29C4442BC182}"/>
    <cellStyle name="Normal 5 3 3 2 9" xfId="4815" xr:uid="{00000000-0005-0000-0000-0000C5190000}"/>
    <cellStyle name="Normal 5 3 3 2 9 2" xfId="13254" xr:uid="{71AB5063-ED8E-4CA7-B6B6-8097A9C0BB39}"/>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2DBFE5E9-17F8-4B89-802C-DC568C700C15}"/>
    <cellStyle name="Normal 5 3 3 3 2 2 2 3" xfId="11599" xr:uid="{DFCE9811-A85D-4144-A882-3D24A2570761}"/>
    <cellStyle name="Normal 5 3 3 3 2 2 3" xfId="5233" xr:uid="{00000000-0005-0000-0000-0000CB190000}"/>
    <cellStyle name="Normal 5 3 3 3 2 2 3 2" xfId="13672" xr:uid="{82B8C761-72A1-447A-AB31-3C76ED4944FB}"/>
    <cellStyle name="Normal 5 3 3 3 2 2 4" xfId="9454" xr:uid="{1FE6FD4E-9D5B-447F-90EC-A9508F5B73FD}"/>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D267BE8C-705F-44B6-881E-C68612567396}"/>
    <cellStyle name="Normal 5 3 3 3 2 3 2 3" xfId="12012" xr:uid="{0A702685-3DFC-4588-B15F-EC4594A7D4FA}"/>
    <cellStyle name="Normal 5 3 3 3 2 3 3" xfId="5646" xr:uid="{00000000-0005-0000-0000-0000CF190000}"/>
    <cellStyle name="Normal 5 3 3 3 2 3 3 2" xfId="14085" xr:uid="{5082E723-F18C-44C9-AC76-21515F3770E9}"/>
    <cellStyle name="Normal 5 3 3 3 2 3 4" xfId="9867" xr:uid="{E76B699B-B419-45AC-9B24-B41D17BAD806}"/>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AA97DE00-8050-4D17-BB91-AC9DF4314716}"/>
    <cellStyle name="Normal 5 3 3 3 2 4 2 3" xfId="12425" xr:uid="{4181114A-A187-45A9-8E23-BC97A2B5BB87}"/>
    <cellStyle name="Normal 5 3 3 3 2 4 3" xfId="6059" xr:uid="{00000000-0005-0000-0000-0000D3190000}"/>
    <cellStyle name="Normal 5 3 3 3 2 4 3 2" xfId="14498" xr:uid="{B2D75410-3E95-4B87-9331-50FF8C4B7B22}"/>
    <cellStyle name="Normal 5 3 3 3 2 4 4" xfId="10280" xr:uid="{B6461359-DECC-463A-A80F-35ACC300A355}"/>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62637FCF-9834-44DA-9BEE-843EF55AC293}"/>
    <cellStyle name="Normal 5 3 3 3 2 5 2 3" xfId="12838" xr:uid="{8EF899AD-A544-490E-A960-7A75CF0F1B65}"/>
    <cellStyle name="Normal 5 3 3 3 2 5 3" xfId="6472" xr:uid="{00000000-0005-0000-0000-0000D7190000}"/>
    <cellStyle name="Normal 5 3 3 3 2 5 3 2" xfId="14911" xr:uid="{8BF56C8E-3D2C-4A02-8781-210603B62942}"/>
    <cellStyle name="Normal 5 3 3 3 2 5 4" xfId="10693" xr:uid="{A1457C1B-7FFD-4BAE-826B-A4686792EDB2}"/>
    <cellStyle name="Normal 5 3 3 3 2 6" xfId="2601" xr:uid="{00000000-0005-0000-0000-0000D8190000}"/>
    <cellStyle name="Normal 5 3 3 3 2 6 2" xfId="6885" xr:uid="{00000000-0005-0000-0000-0000D9190000}"/>
    <cellStyle name="Normal 5 3 3 3 2 6 2 2" xfId="15324" xr:uid="{57C73227-4F53-4214-B0F3-C49BA76EBFB0}"/>
    <cellStyle name="Normal 5 3 3 3 2 6 3" xfId="11106" xr:uid="{57EE354A-054B-4198-843C-66CBA14B1DD1}"/>
    <cellStyle name="Normal 5 3 3 3 2 7" xfId="4820" xr:uid="{00000000-0005-0000-0000-0000DA190000}"/>
    <cellStyle name="Normal 5 3 3 3 2 7 2" xfId="13259" xr:uid="{53ECFBEA-33B9-4570-8F53-B1DB64DC215D}"/>
    <cellStyle name="Normal 5 3 3 3 2 8" xfId="9041" xr:uid="{DE1C377C-9D8B-48AF-BE6F-54A08E044636}"/>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835D0FFD-3A76-4E4B-9C6C-7640DB15B8CE}"/>
    <cellStyle name="Normal 5 3 3 3 3 2 3" xfId="11598" xr:uid="{18E43021-B3AB-4838-9D0D-D690A5C9055F}"/>
    <cellStyle name="Normal 5 3 3 3 3 3" xfId="5232" xr:uid="{00000000-0005-0000-0000-0000DE190000}"/>
    <cellStyle name="Normal 5 3 3 3 3 3 2" xfId="13671" xr:uid="{0E726202-9B4E-4780-9EC0-2B4433E43466}"/>
    <cellStyle name="Normal 5 3 3 3 3 4" xfId="9453" xr:uid="{DAAD4A9A-0C9F-42E7-96F7-28BFBC6F01C7}"/>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9E0D309D-B6C3-46C3-B820-75FDAD01A154}"/>
    <cellStyle name="Normal 5 3 3 3 4 2 3" xfId="12011" xr:uid="{88FD10FA-CDCB-4843-83A0-C14EECA08FEC}"/>
    <cellStyle name="Normal 5 3 3 3 4 3" xfId="5645" xr:uid="{00000000-0005-0000-0000-0000E2190000}"/>
    <cellStyle name="Normal 5 3 3 3 4 3 2" xfId="14084" xr:uid="{898EF9C7-C7E6-4A8E-AFBF-8BA8D8A27DF0}"/>
    <cellStyle name="Normal 5 3 3 3 4 4" xfId="9866" xr:uid="{E977082C-7004-483C-BB34-A1FDD2A568E8}"/>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A633F8A5-2F6F-40D8-B54C-3BD41D85E85C}"/>
    <cellStyle name="Normal 5 3 3 3 5 2 3" xfId="12424" xr:uid="{00E0BEC3-3C3B-46DF-A264-65EC9974D48E}"/>
    <cellStyle name="Normal 5 3 3 3 5 3" xfId="6058" xr:uid="{00000000-0005-0000-0000-0000E6190000}"/>
    <cellStyle name="Normal 5 3 3 3 5 3 2" xfId="14497" xr:uid="{23382B59-69C7-4286-88A2-87F90137C67B}"/>
    <cellStyle name="Normal 5 3 3 3 5 4" xfId="10279" xr:uid="{F09FB20A-E06B-484E-901C-62AA430EC2ED}"/>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0C9CCB78-A3B2-40D7-AAC3-87132E2C59AA}"/>
    <cellStyle name="Normal 5 3 3 3 6 2 3" xfId="12837" xr:uid="{CD34C7A6-7867-43DF-954A-4D8D5C2C0CF9}"/>
    <cellStyle name="Normal 5 3 3 3 6 3" xfId="6471" xr:uid="{00000000-0005-0000-0000-0000EA190000}"/>
    <cellStyle name="Normal 5 3 3 3 6 3 2" xfId="14910" xr:uid="{F9A0AD77-C59B-45BD-A42E-E2DF989E50F0}"/>
    <cellStyle name="Normal 5 3 3 3 6 4" xfId="10692" xr:uid="{CB5D0892-326D-4C3D-899B-361969735476}"/>
    <cellStyle name="Normal 5 3 3 3 7" xfId="2600" xr:uid="{00000000-0005-0000-0000-0000EB190000}"/>
    <cellStyle name="Normal 5 3 3 3 7 2" xfId="6884" xr:uid="{00000000-0005-0000-0000-0000EC190000}"/>
    <cellStyle name="Normal 5 3 3 3 7 2 2" xfId="15323" xr:uid="{DA3BA4E2-57C8-4BD9-ABDB-127916321AAA}"/>
    <cellStyle name="Normal 5 3 3 3 7 3" xfId="11105" xr:uid="{A30BEF45-ACC6-42F8-AD4D-FC7A87E43995}"/>
    <cellStyle name="Normal 5 3 3 3 8" xfId="4819" xr:uid="{00000000-0005-0000-0000-0000ED190000}"/>
    <cellStyle name="Normal 5 3 3 3 8 2" xfId="13258" xr:uid="{883AF489-84C5-4776-8E44-7809B2C81D92}"/>
    <cellStyle name="Normal 5 3 3 3 9" xfId="9040" xr:uid="{0B69B1C6-7710-4B96-A33C-44D7AF7CD5AE}"/>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E95398BB-2B60-448C-9710-24FBE3A6D97C}"/>
    <cellStyle name="Normal 5 3 3 4 2 2 3" xfId="11600" xr:uid="{E0279648-5FD4-4879-850F-2755626A48CF}"/>
    <cellStyle name="Normal 5 3 3 4 2 3" xfId="5234" xr:uid="{00000000-0005-0000-0000-0000F2190000}"/>
    <cellStyle name="Normal 5 3 3 4 2 3 2" xfId="13673" xr:uid="{6DE1D32F-7B0E-46FC-9974-3966ACDED545}"/>
    <cellStyle name="Normal 5 3 3 4 2 4" xfId="9455" xr:uid="{6EF83E5A-2A7E-41E4-B649-D7CCEEE3A843}"/>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3ECB9D8B-3A0A-49A8-A0B7-0DDB82C611DD}"/>
    <cellStyle name="Normal 5 3 3 4 3 2 3" xfId="12013" xr:uid="{CE0DE7D3-0CED-4DF3-B8BA-932D8B69A40C}"/>
    <cellStyle name="Normal 5 3 3 4 3 3" xfId="5647" xr:uid="{00000000-0005-0000-0000-0000F6190000}"/>
    <cellStyle name="Normal 5 3 3 4 3 3 2" xfId="14086" xr:uid="{6DF1E5C6-C559-415E-A3FC-558ADE2DF4F0}"/>
    <cellStyle name="Normal 5 3 3 4 3 4" xfId="9868" xr:uid="{AEFEE70C-9E2A-46AE-BAE9-1FCDEACEA12A}"/>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0CCC4CDE-4CB4-419F-8401-A7A4294DB091}"/>
    <cellStyle name="Normal 5 3 3 4 4 2 3" xfId="12426" xr:uid="{EC09BD03-CD8A-499C-ABD3-987F35065B5F}"/>
    <cellStyle name="Normal 5 3 3 4 4 3" xfId="6060" xr:uid="{00000000-0005-0000-0000-0000FA190000}"/>
    <cellStyle name="Normal 5 3 3 4 4 3 2" xfId="14499" xr:uid="{6316576A-146A-4CC3-AD20-F52AB5BA191A}"/>
    <cellStyle name="Normal 5 3 3 4 4 4" xfId="10281" xr:uid="{F011ADE0-949B-4C6C-B6F7-5096F613C3EE}"/>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D3CBD096-BD49-45F5-8115-0F7938F99236}"/>
    <cellStyle name="Normal 5 3 3 4 5 2 3" xfId="12839" xr:uid="{34608AFD-952A-4D0E-A86A-0C073B69F8A9}"/>
    <cellStyle name="Normal 5 3 3 4 5 3" xfId="6473" xr:uid="{00000000-0005-0000-0000-0000FE190000}"/>
    <cellStyle name="Normal 5 3 3 4 5 3 2" xfId="14912" xr:uid="{3142D5DE-7B2E-4F58-8B5E-0F88CE9C5096}"/>
    <cellStyle name="Normal 5 3 3 4 5 4" xfId="10694" xr:uid="{05985E33-10E8-41C2-AB9B-D96D31E32E19}"/>
    <cellStyle name="Normal 5 3 3 4 6" xfId="2602" xr:uid="{00000000-0005-0000-0000-0000FF190000}"/>
    <cellStyle name="Normal 5 3 3 4 6 2" xfId="6886" xr:uid="{00000000-0005-0000-0000-0000001A0000}"/>
    <cellStyle name="Normal 5 3 3 4 6 2 2" xfId="15325" xr:uid="{37EFB15A-3ABF-455D-901D-83B2286C9013}"/>
    <cellStyle name="Normal 5 3 3 4 6 3" xfId="11107" xr:uid="{991C6626-C6E7-48ED-884B-88821CE7F762}"/>
    <cellStyle name="Normal 5 3 3 4 7" xfId="4821" xr:uid="{00000000-0005-0000-0000-0000011A0000}"/>
    <cellStyle name="Normal 5 3 3 4 7 2" xfId="13260" xr:uid="{399152A2-C24A-4EF7-BEFE-C5D00656B7C0}"/>
    <cellStyle name="Normal 5 3 3 4 8" xfId="9042" xr:uid="{F18B93EA-0435-4E04-A972-89A82498F9BB}"/>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47527B9F-AAD4-4431-A08E-E3F6B89B33A2}"/>
    <cellStyle name="Normal 5 3 3 5 2 3" xfId="11593" xr:uid="{5AF15835-CDF0-4F1E-9EE6-D198D05E5CF7}"/>
    <cellStyle name="Normal 5 3 3 5 3" xfId="5227" xr:uid="{00000000-0005-0000-0000-0000051A0000}"/>
    <cellStyle name="Normal 5 3 3 5 3 2" xfId="13666" xr:uid="{14E3021F-AC83-46DC-ADF0-9F38C97FB9E7}"/>
    <cellStyle name="Normal 5 3 3 5 4" xfId="9448" xr:uid="{CF1EA082-A10E-4D54-B745-21AECD32F374}"/>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FDD70E64-7986-4AFC-8294-52633C709A69}"/>
    <cellStyle name="Normal 5 3 3 6 2 3" xfId="12006" xr:uid="{CF5577E2-E9B8-4500-BEC5-463B186B697C}"/>
    <cellStyle name="Normal 5 3 3 6 3" xfId="5640" xr:uid="{00000000-0005-0000-0000-0000091A0000}"/>
    <cellStyle name="Normal 5 3 3 6 3 2" xfId="14079" xr:uid="{5536044F-4E38-4C1F-ABFF-80371AF7D40A}"/>
    <cellStyle name="Normal 5 3 3 6 4" xfId="9861" xr:uid="{52EF52B0-333C-4810-A851-0B732BC3DA1B}"/>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BAD709AB-676B-420D-839B-C8E34714C12F}"/>
    <cellStyle name="Normal 5 3 3 7 2 3" xfId="12419" xr:uid="{598BA87B-3983-4CDD-AB14-01B1D06B29B2}"/>
    <cellStyle name="Normal 5 3 3 7 3" xfId="6053" xr:uid="{00000000-0005-0000-0000-00000D1A0000}"/>
    <cellStyle name="Normal 5 3 3 7 3 2" xfId="14492" xr:uid="{FC605DCB-E2CF-401E-91EA-787C34005A07}"/>
    <cellStyle name="Normal 5 3 3 7 4" xfId="10274" xr:uid="{9A957D25-D867-4F71-9EDB-BEDA414D8D6A}"/>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F7A9F5EF-7B05-4A30-BA3B-CC94D3A032C7}"/>
    <cellStyle name="Normal 5 3 3 8 2 3" xfId="12832" xr:uid="{6DDDD9E3-23FB-425E-A872-A6CB18C24F3D}"/>
    <cellStyle name="Normal 5 3 3 8 3" xfId="6466" xr:uid="{00000000-0005-0000-0000-0000111A0000}"/>
    <cellStyle name="Normal 5 3 3 8 3 2" xfId="14905" xr:uid="{B7D37387-5933-4B5D-9CB5-09D45AAFB537}"/>
    <cellStyle name="Normal 5 3 3 8 4" xfId="10687" xr:uid="{7FFD27F7-102D-4FFC-9B0E-6194785BF9FD}"/>
    <cellStyle name="Normal 5 3 3 9" xfId="2595" xr:uid="{00000000-0005-0000-0000-0000121A0000}"/>
    <cellStyle name="Normal 5 3 3 9 2" xfId="6879" xr:uid="{00000000-0005-0000-0000-0000131A0000}"/>
    <cellStyle name="Normal 5 3 3 9 2 2" xfId="15318" xr:uid="{28938128-12BE-4287-B157-E69D2E3D2263}"/>
    <cellStyle name="Normal 5 3 3 9 3" xfId="11100" xr:uid="{258A1507-6A7A-48B6-BDE0-4B17F029D371}"/>
    <cellStyle name="Normal 5 3 4" xfId="449" xr:uid="{00000000-0005-0000-0000-0000141A0000}"/>
    <cellStyle name="Normal 5 3 4 10" xfId="9043" xr:uid="{47A60F27-1F4B-42AE-9429-13310F5C3972}"/>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0E323CE7-9B32-47FC-87D1-4FF1C074A996}"/>
    <cellStyle name="Normal 5 3 4 2 2 2 2 3" xfId="11603" xr:uid="{4E55D988-E7B3-4865-97E7-6771181368BC}"/>
    <cellStyle name="Normal 5 3 4 2 2 2 3" xfId="5237" xr:uid="{00000000-0005-0000-0000-00001A1A0000}"/>
    <cellStyle name="Normal 5 3 4 2 2 2 3 2" xfId="13676" xr:uid="{8209F648-5716-421C-ABA5-2355FAC474DE}"/>
    <cellStyle name="Normal 5 3 4 2 2 2 4" xfId="9458" xr:uid="{AEE77B67-757E-4ECA-A32A-75D180A7D785}"/>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90E6884F-1D92-4CB4-9F35-318E7190DB2D}"/>
    <cellStyle name="Normal 5 3 4 2 2 3 2 3" xfId="12016" xr:uid="{39A90EEB-720A-4AAF-8009-E398EFF2397F}"/>
    <cellStyle name="Normal 5 3 4 2 2 3 3" xfId="5650" xr:uid="{00000000-0005-0000-0000-00001E1A0000}"/>
    <cellStyle name="Normal 5 3 4 2 2 3 3 2" xfId="14089" xr:uid="{B82C7E89-A357-48AB-BD4F-89FC983EC517}"/>
    <cellStyle name="Normal 5 3 4 2 2 3 4" xfId="9871" xr:uid="{2C14CB39-314A-4E40-9AD4-0FED6E64AF82}"/>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30936640-5DDD-4439-AF95-BF49D9DD35D6}"/>
    <cellStyle name="Normal 5 3 4 2 2 4 2 3" xfId="12429" xr:uid="{CA147A6F-C818-4D6D-B88C-F3ED5C9A061B}"/>
    <cellStyle name="Normal 5 3 4 2 2 4 3" xfId="6063" xr:uid="{00000000-0005-0000-0000-0000221A0000}"/>
    <cellStyle name="Normal 5 3 4 2 2 4 3 2" xfId="14502" xr:uid="{CBD00A8F-5A73-47B5-B616-089B23F0BA49}"/>
    <cellStyle name="Normal 5 3 4 2 2 4 4" xfId="10284" xr:uid="{6F14EE79-EB7D-4468-B4C8-9446A5DACA1A}"/>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A689FC6D-5264-4613-A3F1-A57F398EECA8}"/>
    <cellStyle name="Normal 5 3 4 2 2 5 2 3" xfId="12842" xr:uid="{F2ED5B41-DCF3-468C-BCE3-F553CB5F54F8}"/>
    <cellStyle name="Normal 5 3 4 2 2 5 3" xfId="6476" xr:uid="{00000000-0005-0000-0000-0000261A0000}"/>
    <cellStyle name="Normal 5 3 4 2 2 5 3 2" xfId="14915" xr:uid="{868EE7B7-E8CA-485F-8C8F-8742E685C8B7}"/>
    <cellStyle name="Normal 5 3 4 2 2 5 4" xfId="10697" xr:uid="{267DBF34-C019-4E2F-A636-5F2D02EDABBC}"/>
    <cellStyle name="Normal 5 3 4 2 2 6" xfId="2605" xr:uid="{00000000-0005-0000-0000-0000271A0000}"/>
    <cellStyle name="Normal 5 3 4 2 2 6 2" xfId="6889" xr:uid="{00000000-0005-0000-0000-0000281A0000}"/>
    <cellStyle name="Normal 5 3 4 2 2 6 2 2" xfId="15328" xr:uid="{1E70039A-D6CA-4188-AB8D-BF16EF770618}"/>
    <cellStyle name="Normal 5 3 4 2 2 6 3" xfId="11110" xr:uid="{FB67F263-9E31-4E36-8B8F-BC57E492A551}"/>
    <cellStyle name="Normal 5 3 4 2 2 7" xfId="4824" xr:uid="{00000000-0005-0000-0000-0000291A0000}"/>
    <cellStyle name="Normal 5 3 4 2 2 7 2" xfId="13263" xr:uid="{2EF6BAD8-090B-4C3C-9E62-5EBCD7A57C1C}"/>
    <cellStyle name="Normal 5 3 4 2 2 8" xfId="9045" xr:uid="{174552C7-2458-4F12-B17A-0A2BBA27B8DF}"/>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07058BDC-82B7-42D1-B842-42A5F1FDDA78}"/>
    <cellStyle name="Normal 5 3 4 2 3 2 3" xfId="11602" xr:uid="{C80454BE-A183-44EF-9066-0BD8399EF77D}"/>
    <cellStyle name="Normal 5 3 4 2 3 3" xfId="5236" xr:uid="{00000000-0005-0000-0000-00002D1A0000}"/>
    <cellStyle name="Normal 5 3 4 2 3 3 2" xfId="13675" xr:uid="{A4DCC6E1-1348-4328-A455-3DEC7D4AB426}"/>
    <cellStyle name="Normal 5 3 4 2 3 4" xfId="9457" xr:uid="{6B996495-C3A9-40FC-BAC2-ACEEAB7EBEAE}"/>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069AE9D4-7EC9-46CB-A17B-FA9E97171988}"/>
    <cellStyle name="Normal 5 3 4 2 4 2 3" xfId="12015" xr:uid="{2FB73104-C986-4819-B69D-31687592CD02}"/>
    <cellStyle name="Normal 5 3 4 2 4 3" xfId="5649" xr:uid="{00000000-0005-0000-0000-0000311A0000}"/>
    <cellStyle name="Normal 5 3 4 2 4 3 2" xfId="14088" xr:uid="{076DED46-3FA3-4A24-BA23-CA6C70227D8D}"/>
    <cellStyle name="Normal 5 3 4 2 4 4" xfId="9870" xr:uid="{95790985-2444-4AF2-BAE3-BFAE687F3876}"/>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5661D717-C7E7-4170-8A70-665BF75C4299}"/>
    <cellStyle name="Normal 5 3 4 2 5 2 3" xfId="12428" xr:uid="{8BA7FB43-D16E-42F4-A06E-19EFF5A243FE}"/>
    <cellStyle name="Normal 5 3 4 2 5 3" xfId="6062" xr:uid="{00000000-0005-0000-0000-0000351A0000}"/>
    <cellStyle name="Normal 5 3 4 2 5 3 2" xfId="14501" xr:uid="{1848C8E4-0A5A-4E58-B20D-D56435892398}"/>
    <cellStyle name="Normal 5 3 4 2 5 4" xfId="10283" xr:uid="{8D048740-7B26-4E87-8F93-FCE8476487D3}"/>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C8C6151A-0B5D-4835-ACA3-62F89D6CE5DB}"/>
    <cellStyle name="Normal 5 3 4 2 6 2 3" xfId="12841" xr:uid="{6ABAE549-5085-4449-BB82-E547CB01D2ED}"/>
    <cellStyle name="Normal 5 3 4 2 6 3" xfId="6475" xr:uid="{00000000-0005-0000-0000-0000391A0000}"/>
    <cellStyle name="Normal 5 3 4 2 6 3 2" xfId="14914" xr:uid="{EE361D00-601C-49E9-97EC-0EA5D55F4144}"/>
    <cellStyle name="Normal 5 3 4 2 6 4" xfId="10696" xr:uid="{0DB6295F-62E2-4A3D-ADD4-49F829E3AD38}"/>
    <cellStyle name="Normal 5 3 4 2 7" xfId="2604" xr:uid="{00000000-0005-0000-0000-00003A1A0000}"/>
    <cellStyle name="Normal 5 3 4 2 7 2" xfId="6888" xr:uid="{00000000-0005-0000-0000-00003B1A0000}"/>
    <cellStyle name="Normal 5 3 4 2 7 2 2" xfId="15327" xr:uid="{1F62A475-3B3F-42D7-A6CC-B47B874F9F91}"/>
    <cellStyle name="Normal 5 3 4 2 7 3" xfId="11109" xr:uid="{D8CD4D0B-8AEE-44AD-98F9-D55C965BE93D}"/>
    <cellStyle name="Normal 5 3 4 2 8" xfId="4823" xr:uid="{00000000-0005-0000-0000-00003C1A0000}"/>
    <cellStyle name="Normal 5 3 4 2 8 2" xfId="13262" xr:uid="{396BD93E-14F2-413B-BD5B-C6474AA87BC9}"/>
    <cellStyle name="Normal 5 3 4 2 9" xfId="9044" xr:uid="{9A02D0F3-00C3-4E4C-AA9B-0E554AE99497}"/>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04850913-90C2-4312-9F90-1889CDC8075D}"/>
    <cellStyle name="Normal 5 3 4 3 2 2 3" xfId="11604" xr:uid="{8E54287B-F5A8-4B55-AA9D-A50CFA32BA7F}"/>
    <cellStyle name="Normal 5 3 4 3 2 3" xfId="5238" xr:uid="{00000000-0005-0000-0000-0000411A0000}"/>
    <cellStyle name="Normal 5 3 4 3 2 3 2" xfId="13677" xr:uid="{EF46DE72-0693-490E-A1D0-340DD9B61325}"/>
    <cellStyle name="Normal 5 3 4 3 2 4" xfId="9459" xr:uid="{050CF5EB-065B-440F-9C48-6D7B983C6E96}"/>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74173306-132A-410D-BE40-2F5AFE9826E8}"/>
    <cellStyle name="Normal 5 3 4 3 3 2 3" xfId="12017" xr:uid="{95E2CB4C-1159-4A46-82CC-97261BBCEC1B}"/>
    <cellStyle name="Normal 5 3 4 3 3 3" xfId="5651" xr:uid="{00000000-0005-0000-0000-0000451A0000}"/>
    <cellStyle name="Normal 5 3 4 3 3 3 2" xfId="14090" xr:uid="{F4D65CC4-6569-4150-8328-C422845ABAEE}"/>
    <cellStyle name="Normal 5 3 4 3 3 4" xfId="9872" xr:uid="{31AEEEB2-A44D-4E96-B88E-6C1DA1BEA6E4}"/>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0E6D722A-AA96-4848-8950-C72264C55BF7}"/>
    <cellStyle name="Normal 5 3 4 3 4 2 3" xfId="12430" xr:uid="{9639BED2-3C3C-41EF-B38C-2E4DC1553BD8}"/>
    <cellStyle name="Normal 5 3 4 3 4 3" xfId="6064" xr:uid="{00000000-0005-0000-0000-0000491A0000}"/>
    <cellStyle name="Normal 5 3 4 3 4 3 2" xfId="14503" xr:uid="{C29B13CE-0CB7-4DA4-8671-523E4F15433A}"/>
    <cellStyle name="Normal 5 3 4 3 4 4" xfId="10285" xr:uid="{761F0BF5-E414-453F-A074-83762F697F8A}"/>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44FFE37F-5581-4C95-845A-EC2D2A8E4B7F}"/>
    <cellStyle name="Normal 5 3 4 3 5 2 3" xfId="12843" xr:uid="{861AA6BE-C62C-4F7E-9BB9-E588F35B3E35}"/>
    <cellStyle name="Normal 5 3 4 3 5 3" xfId="6477" xr:uid="{00000000-0005-0000-0000-00004D1A0000}"/>
    <cellStyle name="Normal 5 3 4 3 5 3 2" xfId="14916" xr:uid="{C2721EDA-B838-487F-98D0-CE4B9D5BB09E}"/>
    <cellStyle name="Normal 5 3 4 3 5 4" xfId="10698" xr:uid="{A0B1FE21-6139-4FD7-BDFC-5DE6C705D8D8}"/>
    <cellStyle name="Normal 5 3 4 3 6" xfId="2606" xr:uid="{00000000-0005-0000-0000-00004E1A0000}"/>
    <cellStyle name="Normal 5 3 4 3 6 2" xfId="6890" xr:uid="{00000000-0005-0000-0000-00004F1A0000}"/>
    <cellStyle name="Normal 5 3 4 3 6 2 2" xfId="15329" xr:uid="{34969330-2D55-4955-9BD5-CB1D699A64B2}"/>
    <cellStyle name="Normal 5 3 4 3 6 3" xfId="11111" xr:uid="{209CB5EC-F4D6-4869-B8F2-7F5BF7ED6D81}"/>
    <cellStyle name="Normal 5 3 4 3 7" xfId="4825" xr:uid="{00000000-0005-0000-0000-0000501A0000}"/>
    <cellStyle name="Normal 5 3 4 3 7 2" xfId="13264" xr:uid="{4786F3DE-CFCB-4267-947C-A80809433B44}"/>
    <cellStyle name="Normal 5 3 4 3 8" xfId="9046" xr:uid="{63E3B6DC-B7D2-428A-9935-FCA904705648}"/>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CD15B709-1A61-443D-8D7D-5AFC4C071E5B}"/>
    <cellStyle name="Normal 5 3 4 4 2 3" xfId="11601" xr:uid="{1EE5829E-1AF9-40ED-B1A3-02DA359FF4B5}"/>
    <cellStyle name="Normal 5 3 4 4 3" xfId="5235" xr:uid="{00000000-0005-0000-0000-0000541A0000}"/>
    <cellStyle name="Normal 5 3 4 4 3 2" xfId="13674" xr:uid="{7A4F9FBA-8CEC-45DA-A662-AAEDCF01FB75}"/>
    <cellStyle name="Normal 5 3 4 4 4" xfId="9456" xr:uid="{EB5CC4C6-1E7D-4F26-A297-3B6ACD566518}"/>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36907809-A56F-42D4-A11E-54E316E369F5}"/>
    <cellStyle name="Normal 5 3 4 5 2 3" xfId="12014" xr:uid="{D3FF3429-4B0F-434B-B2A0-60C85038FF42}"/>
    <cellStyle name="Normal 5 3 4 5 3" xfId="5648" xr:uid="{00000000-0005-0000-0000-0000581A0000}"/>
    <cellStyle name="Normal 5 3 4 5 3 2" xfId="14087" xr:uid="{ACF65A81-AAB0-4663-97EB-DF2A5CD5BA94}"/>
    <cellStyle name="Normal 5 3 4 5 4" xfId="9869" xr:uid="{93D3431C-0400-43D3-BB27-27012FDDEBFC}"/>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7442980C-5F24-4517-A47A-73EA22404A19}"/>
    <cellStyle name="Normal 5 3 4 6 2 3" xfId="12427" xr:uid="{6A4E7870-126D-42D1-AF22-415FA0B99FB6}"/>
    <cellStyle name="Normal 5 3 4 6 3" xfId="6061" xr:uid="{00000000-0005-0000-0000-00005C1A0000}"/>
    <cellStyle name="Normal 5 3 4 6 3 2" xfId="14500" xr:uid="{49DBD5FB-0DF0-48B8-BE7A-573FF9C32107}"/>
    <cellStyle name="Normal 5 3 4 6 4" xfId="10282" xr:uid="{D8F94F46-AA3C-41C4-965B-F3CF22DA18DC}"/>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2F000DCB-2C93-4679-8839-615D2E29F3B8}"/>
    <cellStyle name="Normal 5 3 4 7 2 3" xfId="12840" xr:uid="{3BE2E5AD-5EF4-4E8A-8FF9-48FA141796D5}"/>
    <cellStyle name="Normal 5 3 4 7 3" xfId="6474" xr:uid="{00000000-0005-0000-0000-0000601A0000}"/>
    <cellStyle name="Normal 5 3 4 7 3 2" xfId="14913" xr:uid="{3165A14A-F5AC-405E-A3EA-4171CBBCFFF0}"/>
    <cellStyle name="Normal 5 3 4 7 4" xfId="10695" xr:uid="{BB7631A4-E72F-4923-ACD2-87CF8EB00CEE}"/>
    <cellStyle name="Normal 5 3 4 8" xfId="2603" xr:uid="{00000000-0005-0000-0000-0000611A0000}"/>
    <cellStyle name="Normal 5 3 4 8 2" xfId="6887" xr:uid="{00000000-0005-0000-0000-0000621A0000}"/>
    <cellStyle name="Normal 5 3 4 8 2 2" xfId="15326" xr:uid="{85C4C49F-83D1-4A00-A851-F26BA9E07DFA}"/>
    <cellStyle name="Normal 5 3 4 8 3" xfId="11108" xr:uid="{FE207AB7-D433-43F3-A2A2-7BE476AC6461}"/>
    <cellStyle name="Normal 5 3 4 9" xfId="4822" xr:uid="{00000000-0005-0000-0000-0000631A0000}"/>
    <cellStyle name="Normal 5 3 4 9 2" xfId="13261" xr:uid="{0AC6E6E3-22FB-4EE6-8808-8197A0880AE5}"/>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8060FBEF-9F2B-4062-A8CC-A1C78381EEFE}"/>
    <cellStyle name="Normal 5 3 5 2 2 2 3" xfId="11606" xr:uid="{500A6C4E-A401-479C-BDBE-34212379B8C4}"/>
    <cellStyle name="Normal 5 3 5 2 2 3" xfId="5240" xr:uid="{00000000-0005-0000-0000-0000691A0000}"/>
    <cellStyle name="Normal 5 3 5 2 2 3 2" xfId="13679" xr:uid="{8AB39498-C260-450A-9A90-C5AFDD6912F7}"/>
    <cellStyle name="Normal 5 3 5 2 2 4" xfId="9461" xr:uid="{DF73257A-6ECB-41DD-BF74-0DFCEB8B99D6}"/>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20DB7509-30EC-4A2E-BC0A-85BDF7658556}"/>
    <cellStyle name="Normal 5 3 5 2 3 2 3" xfId="12019" xr:uid="{E4D05AF5-B576-4025-9F90-D2ADF53597EC}"/>
    <cellStyle name="Normal 5 3 5 2 3 3" xfId="5653" xr:uid="{00000000-0005-0000-0000-00006D1A0000}"/>
    <cellStyle name="Normal 5 3 5 2 3 3 2" xfId="14092" xr:uid="{6F7BB10E-34D5-47E5-9387-B4B32DFF830E}"/>
    <cellStyle name="Normal 5 3 5 2 3 4" xfId="9874" xr:uid="{8EF1FA99-DC00-43DF-B4B9-E5408CACC1AB}"/>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26D90BC0-DB74-4E62-9056-176B66FF4D5E}"/>
    <cellStyle name="Normal 5 3 5 2 4 2 3" xfId="12432" xr:uid="{124C6F5C-3851-4858-B286-62E87A2C11B9}"/>
    <cellStyle name="Normal 5 3 5 2 4 3" xfId="6066" xr:uid="{00000000-0005-0000-0000-0000711A0000}"/>
    <cellStyle name="Normal 5 3 5 2 4 3 2" xfId="14505" xr:uid="{4AD626B1-299A-4D7A-97B3-2D38B66E414D}"/>
    <cellStyle name="Normal 5 3 5 2 4 4" xfId="10287" xr:uid="{C02B21A1-BF76-437D-8F7D-85F500605934}"/>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31A2F8CB-211A-49CE-9954-22AEA62CEB69}"/>
    <cellStyle name="Normal 5 3 5 2 5 2 3" xfId="12845" xr:uid="{637203EF-86A6-4034-8439-41BED6FFB2C3}"/>
    <cellStyle name="Normal 5 3 5 2 5 3" xfId="6479" xr:uid="{00000000-0005-0000-0000-0000751A0000}"/>
    <cellStyle name="Normal 5 3 5 2 5 3 2" xfId="14918" xr:uid="{C020C47E-002F-4F8A-9A50-995D5014D852}"/>
    <cellStyle name="Normal 5 3 5 2 5 4" xfId="10700" xr:uid="{FC9769C8-3F43-49E1-A8EA-FBB1D0714114}"/>
    <cellStyle name="Normal 5 3 5 2 6" xfId="2608" xr:uid="{00000000-0005-0000-0000-0000761A0000}"/>
    <cellStyle name="Normal 5 3 5 2 6 2" xfId="6892" xr:uid="{00000000-0005-0000-0000-0000771A0000}"/>
    <cellStyle name="Normal 5 3 5 2 6 2 2" xfId="15331" xr:uid="{E9C433F4-66B4-4194-8DDA-DBBA801664E4}"/>
    <cellStyle name="Normal 5 3 5 2 6 3" xfId="11113" xr:uid="{E3175966-E9F5-4936-A9E3-9237ABAE0C29}"/>
    <cellStyle name="Normal 5 3 5 2 7" xfId="4827" xr:uid="{00000000-0005-0000-0000-0000781A0000}"/>
    <cellStyle name="Normal 5 3 5 2 7 2" xfId="13266" xr:uid="{D2F32D07-F754-4E76-9D73-88340DD6D11B}"/>
    <cellStyle name="Normal 5 3 5 2 8" xfId="9048" xr:uid="{48F3F6C2-BB77-467D-A30A-293477B966F2}"/>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0EFCD0FA-3E7D-4316-B5FB-DE4241F62952}"/>
    <cellStyle name="Normal 5 3 5 3 2 3" xfId="11605" xr:uid="{7288A087-F599-43D3-B1E7-E016FF73D0FA}"/>
    <cellStyle name="Normal 5 3 5 3 3" xfId="5239" xr:uid="{00000000-0005-0000-0000-00007C1A0000}"/>
    <cellStyle name="Normal 5 3 5 3 3 2" xfId="13678" xr:uid="{D6A1D20B-457F-4791-AD9C-FE9A26BA4CC3}"/>
    <cellStyle name="Normal 5 3 5 3 4" xfId="9460" xr:uid="{148092FD-D8D9-4604-9DD5-8764A99B6938}"/>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96516C7A-8421-4B37-8858-F3A4CDEB356B}"/>
    <cellStyle name="Normal 5 3 5 4 2 3" xfId="12018" xr:uid="{50ED152B-DDDC-470F-9064-7DC9D726D010}"/>
    <cellStyle name="Normal 5 3 5 4 3" xfId="5652" xr:uid="{00000000-0005-0000-0000-0000801A0000}"/>
    <cellStyle name="Normal 5 3 5 4 3 2" xfId="14091" xr:uid="{2F337A3D-279D-42BE-A340-7A0FCAE5997D}"/>
    <cellStyle name="Normal 5 3 5 4 4" xfId="9873" xr:uid="{1B23191B-75C0-4471-9251-57107442FD2B}"/>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80035218-B1D0-4BC8-9F36-76B3CE7B72C1}"/>
    <cellStyle name="Normal 5 3 5 5 2 3" xfId="12431" xr:uid="{537C1452-E8C6-4A8A-AE2D-4249806C7E9A}"/>
    <cellStyle name="Normal 5 3 5 5 3" xfId="6065" xr:uid="{00000000-0005-0000-0000-0000841A0000}"/>
    <cellStyle name="Normal 5 3 5 5 3 2" xfId="14504" xr:uid="{D0F94B3B-C847-40C2-9D52-C57BAE767708}"/>
    <cellStyle name="Normal 5 3 5 5 4" xfId="10286" xr:uid="{612DDFF7-AAF4-48EC-A0E3-C5F3763E67AA}"/>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15BAF93C-EC7E-418A-AA2D-FDA9138212EB}"/>
    <cellStyle name="Normal 5 3 5 6 2 3" xfId="12844" xr:uid="{03A54192-E108-4D65-B4F5-579B1589963B}"/>
    <cellStyle name="Normal 5 3 5 6 3" xfId="6478" xr:uid="{00000000-0005-0000-0000-0000881A0000}"/>
    <cellStyle name="Normal 5 3 5 6 3 2" xfId="14917" xr:uid="{13CC0B1A-3294-4280-895C-207E6AA9E40C}"/>
    <cellStyle name="Normal 5 3 5 6 4" xfId="10699" xr:uid="{74F8C7D0-9371-4E9D-9F93-EF5FF5EF43F2}"/>
    <cellStyle name="Normal 5 3 5 7" xfId="2607" xr:uid="{00000000-0005-0000-0000-0000891A0000}"/>
    <cellStyle name="Normal 5 3 5 7 2" xfId="6891" xr:uid="{00000000-0005-0000-0000-00008A1A0000}"/>
    <cellStyle name="Normal 5 3 5 7 2 2" xfId="15330" xr:uid="{95E5D134-52FC-4A46-868F-790C8DFC1C12}"/>
    <cellStyle name="Normal 5 3 5 7 3" xfId="11112" xr:uid="{2F7C3A56-72DC-4CEB-B530-DFBFA1FAEB49}"/>
    <cellStyle name="Normal 5 3 5 8" xfId="4826" xr:uid="{00000000-0005-0000-0000-00008B1A0000}"/>
    <cellStyle name="Normal 5 3 5 8 2" xfId="13265" xr:uid="{96D62586-64FF-445B-9C62-D4D51C591038}"/>
    <cellStyle name="Normal 5 3 5 9" xfId="9047" xr:uid="{41371362-8DEB-4D94-A753-657D8CFE901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BFC83AC7-FC13-457D-9F40-1C7A21C08CBE}"/>
    <cellStyle name="Normal 5 3 6 2 2 3" xfId="11607" xr:uid="{489BC8CF-80B2-459B-AFB6-1266313F0E22}"/>
    <cellStyle name="Normal 5 3 6 2 3" xfId="5241" xr:uid="{00000000-0005-0000-0000-0000901A0000}"/>
    <cellStyle name="Normal 5 3 6 2 3 2" xfId="13680" xr:uid="{8467D2B3-C016-4CEA-9EAE-55406FCC5021}"/>
    <cellStyle name="Normal 5 3 6 2 4" xfId="9462" xr:uid="{AA384C83-92F7-4303-BE75-A5066298F1F4}"/>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C60AFE50-08AF-4BB3-860B-5F4144579D7D}"/>
    <cellStyle name="Normal 5 3 6 3 2 3" xfId="12020" xr:uid="{BAB46C69-D092-4CAB-A431-2E96B25270C8}"/>
    <cellStyle name="Normal 5 3 6 3 3" xfId="5654" xr:uid="{00000000-0005-0000-0000-0000941A0000}"/>
    <cellStyle name="Normal 5 3 6 3 3 2" xfId="14093" xr:uid="{DABED140-4019-4076-8B2B-078AD18F9013}"/>
    <cellStyle name="Normal 5 3 6 3 4" xfId="9875" xr:uid="{E348D2BD-0928-4268-B7B3-84FFF257E971}"/>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A33B69A9-1948-42A4-A7B4-5572BEBEB251}"/>
    <cellStyle name="Normal 5 3 6 4 2 3" xfId="12433" xr:uid="{6E47E60C-DBCB-4709-AAB2-1427E29A38A5}"/>
    <cellStyle name="Normal 5 3 6 4 3" xfId="6067" xr:uid="{00000000-0005-0000-0000-0000981A0000}"/>
    <cellStyle name="Normal 5 3 6 4 3 2" xfId="14506" xr:uid="{B8D5FC44-0582-4D5D-BCB0-39EB87D1AA1C}"/>
    <cellStyle name="Normal 5 3 6 4 4" xfId="10288" xr:uid="{C4CD3360-0A1A-4670-9A73-5C9B6ABB56C0}"/>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68DECE77-1307-4ED6-9C23-27CD9D03A747}"/>
    <cellStyle name="Normal 5 3 6 5 2 3" xfId="12846" xr:uid="{A1A16932-32AF-4C5B-8F3D-1F8EA18352BA}"/>
    <cellStyle name="Normal 5 3 6 5 3" xfId="6480" xr:uid="{00000000-0005-0000-0000-00009C1A0000}"/>
    <cellStyle name="Normal 5 3 6 5 3 2" xfId="14919" xr:uid="{7B0781A7-04D8-4BDD-B0F9-88E694D87F4D}"/>
    <cellStyle name="Normal 5 3 6 5 4" xfId="10701" xr:uid="{E7FBF678-18AB-44A1-BE10-3F04D273CA9E}"/>
    <cellStyle name="Normal 5 3 6 6" xfId="2609" xr:uid="{00000000-0005-0000-0000-00009D1A0000}"/>
    <cellStyle name="Normal 5 3 6 6 2" xfId="6893" xr:uid="{00000000-0005-0000-0000-00009E1A0000}"/>
    <cellStyle name="Normal 5 3 6 6 2 2" xfId="15332" xr:uid="{2B23677D-037F-4AC1-93C7-88BD263E9BFC}"/>
    <cellStyle name="Normal 5 3 6 6 3" xfId="11114" xr:uid="{89DC53EC-A6B6-44B5-B008-E73F3F10149A}"/>
    <cellStyle name="Normal 5 3 6 7" xfId="4828" xr:uid="{00000000-0005-0000-0000-00009F1A0000}"/>
    <cellStyle name="Normal 5 3 6 7 2" xfId="13267" xr:uid="{423798AE-F592-4F18-BD69-AA2F05E2E87C}"/>
    <cellStyle name="Normal 5 3 6 8" xfId="9049" xr:uid="{EE671F8D-A433-425E-841D-26C19DC28473}"/>
    <cellStyle name="Normal 5 3 7" xfId="913" xr:uid="{00000000-0005-0000-0000-0000A01A0000}"/>
    <cellStyle name="Normal 5 3 7 2" xfId="3148" xr:uid="{00000000-0005-0000-0000-0000A11A0000}"/>
    <cellStyle name="Normal 5 3 7 2 2" xfId="7371" xr:uid="{00000000-0005-0000-0000-0000A21A0000}"/>
    <cellStyle name="Normal 5 3 7 2 2 2" xfId="15810" xr:uid="{D6228072-1415-4210-9ADF-3C1B32B42F46}"/>
    <cellStyle name="Normal 5 3 7 2 3" xfId="11592" xr:uid="{F4529416-876B-4E7B-844B-075C04A5B237}"/>
    <cellStyle name="Normal 5 3 7 3" xfId="5226" xr:uid="{00000000-0005-0000-0000-0000A31A0000}"/>
    <cellStyle name="Normal 5 3 7 3 2" xfId="13665" xr:uid="{FE97B197-99D6-4756-8566-B975499A7115}"/>
    <cellStyle name="Normal 5 3 7 4" xfId="9447" xr:uid="{F4B9390C-DDC3-476C-806D-887894B91C9D}"/>
    <cellStyle name="Normal 5 3 8" xfId="1331" xr:uid="{00000000-0005-0000-0000-0000A41A0000}"/>
    <cellStyle name="Normal 5 3 8 2" xfId="3561" xr:uid="{00000000-0005-0000-0000-0000A51A0000}"/>
    <cellStyle name="Normal 5 3 8 2 2" xfId="7784" xr:uid="{00000000-0005-0000-0000-0000A61A0000}"/>
    <cellStyle name="Normal 5 3 8 2 2 2" xfId="16223" xr:uid="{D71D4E22-5384-4C77-8E1A-F10381D1346C}"/>
    <cellStyle name="Normal 5 3 8 2 3" xfId="12005" xr:uid="{635CA3AB-D066-423B-B4BC-F917E481DF0A}"/>
    <cellStyle name="Normal 5 3 8 3" xfId="5639" xr:uid="{00000000-0005-0000-0000-0000A71A0000}"/>
    <cellStyle name="Normal 5 3 8 3 2" xfId="14078" xr:uid="{5020D563-CCC4-4D04-9A65-C46E8AEBDBDD}"/>
    <cellStyle name="Normal 5 3 8 4" xfId="9860" xr:uid="{C344F694-9303-43DF-9CE7-5E14785B239D}"/>
    <cellStyle name="Normal 5 3 9" xfId="1744" xr:uid="{00000000-0005-0000-0000-0000A81A0000}"/>
    <cellStyle name="Normal 5 3 9 2" xfId="3974" xr:uid="{00000000-0005-0000-0000-0000A91A0000}"/>
    <cellStyle name="Normal 5 3 9 2 2" xfId="8197" xr:uid="{00000000-0005-0000-0000-0000AA1A0000}"/>
    <cellStyle name="Normal 5 3 9 2 2 2" xfId="16636" xr:uid="{6A7BD876-3014-4B75-A79C-0D4C736C8D0C}"/>
    <cellStyle name="Normal 5 3 9 2 3" xfId="12418" xr:uid="{BDA50C66-3640-410C-AB0D-72872E54174F}"/>
    <cellStyle name="Normal 5 3 9 3" xfId="6052" xr:uid="{00000000-0005-0000-0000-0000AB1A0000}"/>
    <cellStyle name="Normal 5 3 9 3 2" xfId="14491" xr:uid="{ABE29C13-9000-4066-8624-57C27A0EE5B6}"/>
    <cellStyle name="Normal 5 3 9 4" xfId="10273" xr:uid="{1AC45308-6C7B-45A7-81A1-D50118B13623}"/>
    <cellStyle name="Normal 5 4" xfId="456" xr:uid="{00000000-0005-0000-0000-0000AC1A0000}"/>
    <cellStyle name="Normal 5 4 10" xfId="4829" xr:uid="{00000000-0005-0000-0000-0000AD1A0000}"/>
    <cellStyle name="Normal 5 4 10 2" xfId="13268" xr:uid="{687E2FD2-94E8-411F-826B-55231B56B574}"/>
    <cellStyle name="Normal 5 4 11" xfId="9050" xr:uid="{508514B1-C888-477F-BC89-374D34EF95E1}"/>
    <cellStyle name="Normal 5 4 2" xfId="457" xr:uid="{00000000-0005-0000-0000-0000AE1A0000}"/>
    <cellStyle name="Normal 5 4 2 10" xfId="9051" xr:uid="{2F78F14A-EBA8-4387-86E0-A9E068304774}"/>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B48C8E39-CF5C-4B88-A768-CA6699CD6351}"/>
    <cellStyle name="Normal 5 4 2 2 2 2 2 3" xfId="11611" xr:uid="{C6B8A9BC-CB7C-40BB-B6E7-F8B091848670}"/>
    <cellStyle name="Normal 5 4 2 2 2 2 3" xfId="5245" xr:uid="{00000000-0005-0000-0000-0000B41A0000}"/>
    <cellStyle name="Normal 5 4 2 2 2 2 3 2" xfId="13684" xr:uid="{82D9015F-F253-4AC1-9040-7B33618C8878}"/>
    <cellStyle name="Normal 5 4 2 2 2 2 4" xfId="9466" xr:uid="{36A616E3-350E-4851-8211-213D01844E51}"/>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E459FD33-8102-4C37-8A45-E51AA4CA15EA}"/>
    <cellStyle name="Normal 5 4 2 2 2 3 2 3" xfId="12024" xr:uid="{AAFE4B33-FAFF-41BA-A59B-0F63CBECF2C0}"/>
    <cellStyle name="Normal 5 4 2 2 2 3 3" xfId="5658" xr:uid="{00000000-0005-0000-0000-0000B81A0000}"/>
    <cellStyle name="Normal 5 4 2 2 2 3 3 2" xfId="14097" xr:uid="{F3B284FC-B181-465D-8308-69AC031047C9}"/>
    <cellStyle name="Normal 5 4 2 2 2 3 4" xfId="9879" xr:uid="{9D96248F-A0EF-4ACA-B7A5-2A47DCFB3579}"/>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2A522E3C-82AB-415E-8CCD-BA7B89A2A86E}"/>
    <cellStyle name="Normal 5 4 2 2 2 4 2 3" xfId="12437" xr:uid="{689410D3-D36A-40FE-81C2-927B5D332D2A}"/>
    <cellStyle name="Normal 5 4 2 2 2 4 3" xfId="6071" xr:uid="{00000000-0005-0000-0000-0000BC1A0000}"/>
    <cellStyle name="Normal 5 4 2 2 2 4 3 2" xfId="14510" xr:uid="{F7AD72DB-8522-4F52-AB86-C7E3DC0C7288}"/>
    <cellStyle name="Normal 5 4 2 2 2 4 4" xfId="10292" xr:uid="{797BA9F9-8E35-45B2-BC5B-F72FACD71E9C}"/>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1948A758-28AF-475A-B2B7-C2A7F9DC2691}"/>
    <cellStyle name="Normal 5 4 2 2 2 5 2 3" xfId="12850" xr:uid="{C8E8DA8F-BC3B-4741-BBAF-000EDDBEA919}"/>
    <cellStyle name="Normal 5 4 2 2 2 5 3" xfId="6484" xr:uid="{00000000-0005-0000-0000-0000C01A0000}"/>
    <cellStyle name="Normal 5 4 2 2 2 5 3 2" xfId="14923" xr:uid="{EB281BBF-EAC7-433A-980E-CC3C2C6A0BC1}"/>
    <cellStyle name="Normal 5 4 2 2 2 5 4" xfId="10705" xr:uid="{B0AC5EF9-8D3E-4972-893D-4CC27EBB05F6}"/>
    <cellStyle name="Normal 5 4 2 2 2 6" xfId="2613" xr:uid="{00000000-0005-0000-0000-0000C11A0000}"/>
    <cellStyle name="Normal 5 4 2 2 2 6 2" xfId="6897" xr:uid="{00000000-0005-0000-0000-0000C21A0000}"/>
    <cellStyle name="Normal 5 4 2 2 2 6 2 2" xfId="15336" xr:uid="{5A13778B-5FC1-484C-8AC9-C9EFD57338E9}"/>
    <cellStyle name="Normal 5 4 2 2 2 6 3" xfId="11118" xr:uid="{1F28154E-2BC0-4D39-9542-20B230A659A3}"/>
    <cellStyle name="Normal 5 4 2 2 2 7" xfId="4832" xr:uid="{00000000-0005-0000-0000-0000C31A0000}"/>
    <cellStyle name="Normal 5 4 2 2 2 7 2" xfId="13271" xr:uid="{4A3F4D00-58C3-4125-9B63-4CB3FC6C67D2}"/>
    <cellStyle name="Normal 5 4 2 2 2 8" xfId="9053" xr:uid="{6ED76D2A-8FBD-473C-9F1C-6279AD8260A2}"/>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14F35606-9C0A-465B-91DC-BC6D228602D9}"/>
    <cellStyle name="Normal 5 4 2 2 3 2 3" xfId="11610" xr:uid="{FB546CC1-7E75-4938-9F47-9DCAD5BEF295}"/>
    <cellStyle name="Normal 5 4 2 2 3 3" xfId="5244" xr:uid="{00000000-0005-0000-0000-0000C71A0000}"/>
    <cellStyle name="Normal 5 4 2 2 3 3 2" xfId="13683" xr:uid="{46575B89-3FA5-4DA5-92DC-563FBA10ACD6}"/>
    <cellStyle name="Normal 5 4 2 2 3 4" xfId="9465" xr:uid="{D4A3C665-5810-4822-B4D1-4BBBDDDA5B54}"/>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1BA87D85-2A1B-44BC-A50C-E6B3CA122EFB}"/>
    <cellStyle name="Normal 5 4 2 2 4 2 3" xfId="12023" xr:uid="{D5ACC1C5-2CAE-4E07-99C5-1B07E44FDC2D}"/>
    <cellStyle name="Normal 5 4 2 2 4 3" xfId="5657" xr:uid="{00000000-0005-0000-0000-0000CB1A0000}"/>
    <cellStyle name="Normal 5 4 2 2 4 3 2" xfId="14096" xr:uid="{07FC6169-AF5E-4598-90FD-0F378EBEFA34}"/>
    <cellStyle name="Normal 5 4 2 2 4 4" xfId="9878" xr:uid="{308561D8-74A1-4E36-9CAD-7E058ECE7268}"/>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0A0D8D7C-1064-4B2A-86B0-42D128C0258B}"/>
    <cellStyle name="Normal 5 4 2 2 5 2 3" xfId="12436" xr:uid="{97ACB8DA-71D0-4D39-A3A1-25A6C2F69778}"/>
    <cellStyle name="Normal 5 4 2 2 5 3" xfId="6070" xr:uid="{00000000-0005-0000-0000-0000CF1A0000}"/>
    <cellStyle name="Normal 5 4 2 2 5 3 2" xfId="14509" xr:uid="{C5F48E68-747F-4B79-BCFA-4DDD27E15116}"/>
    <cellStyle name="Normal 5 4 2 2 5 4" xfId="10291" xr:uid="{7A5CB5BF-7EEC-46D4-9CF5-BE14C7C1867E}"/>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82AB1132-8896-4818-9AE3-B385FF3F8868}"/>
    <cellStyle name="Normal 5 4 2 2 6 2 3" xfId="12849" xr:uid="{0BD4F012-6B4D-402A-BDBE-D48F0807A2A9}"/>
    <cellStyle name="Normal 5 4 2 2 6 3" xfId="6483" xr:uid="{00000000-0005-0000-0000-0000D31A0000}"/>
    <cellStyle name="Normal 5 4 2 2 6 3 2" xfId="14922" xr:uid="{C3DC2F65-4235-4FCC-BC48-EE6534FFAAAB}"/>
    <cellStyle name="Normal 5 4 2 2 6 4" xfId="10704" xr:uid="{B97CD3F1-99F0-4BE5-823B-67C41A535D68}"/>
    <cellStyle name="Normal 5 4 2 2 7" xfId="2612" xr:uid="{00000000-0005-0000-0000-0000D41A0000}"/>
    <cellStyle name="Normal 5 4 2 2 7 2" xfId="6896" xr:uid="{00000000-0005-0000-0000-0000D51A0000}"/>
    <cellStyle name="Normal 5 4 2 2 7 2 2" xfId="15335" xr:uid="{AD4635A4-716F-4FDB-B922-A7A942994BD7}"/>
    <cellStyle name="Normal 5 4 2 2 7 3" xfId="11117" xr:uid="{27E3F630-3C23-4EBB-AD94-BF8CF2B53BE7}"/>
    <cellStyle name="Normal 5 4 2 2 8" xfId="4831" xr:uid="{00000000-0005-0000-0000-0000D61A0000}"/>
    <cellStyle name="Normal 5 4 2 2 8 2" xfId="13270" xr:uid="{FA9D3C1F-EBE4-40B1-86ED-36B514834CDE}"/>
    <cellStyle name="Normal 5 4 2 2 9" xfId="9052" xr:uid="{97E9DEEF-A037-4BBA-AB6A-734A59526903}"/>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6BAFCB04-D355-4B3D-9FBC-6129543435FB}"/>
    <cellStyle name="Normal 5 4 2 3 2 2 3" xfId="11612" xr:uid="{8C66C0BF-D4E7-4154-9FEE-402FB2DDDBBC}"/>
    <cellStyle name="Normal 5 4 2 3 2 3" xfId="5246" xr:uid="{00000000-0005-0000-0000-0000DB1A0000}"/>
    <cellStyle name="Normal 5 4 2 3 2 3 2" xfId="13685" xr:uid="{F206018B-CA3C-4DC5-9A67-DF21AFC5CCFD}"/>
    <cellStyle name="Normal 5 4 2 3 2 4" xfId="9467" xr:uid="{5FF43F1C-D90B-4DD2-A2FF-6889829F32F1}"/>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BC074E6B-3CC7-46D3-84E9-DAC9326B713F}"/>
    <cellStyle name="Normal 5 4 2 3 3 2 3" xfId="12025" xr:uid="{39393D18-9013-4CFB-8996-64D1D4AB4E7A}"/>
    <cellStyle name="Normal 5 4 2 3 3 3" xfId="5659" xr:uid="{00000000-0005-0000-0000-0000DF1A0000}"/>
    <cellStyle name="Normal 5 4 2 3 3 3 2" xfId="14098" xr:uid="{E7F1C176-6702-4865-8CAD-D26019DD2ABA}"/>
    <cellStyle name="Normal 5 4 2 3 3 4" xfId="9880" xr:uid="{E6BDD2E7-E799-42A5-A676-73B1144F1435}"/>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22486C35-B76E-495C-820D-79EFEDAAD92C}"/>
    <cellStyle name="Normal 5 4 2 3 4 2 3" xfId="12438" xr:uid="{971EFA4B-8A23-4BA6-B343-BFD130EB8F4C}"/>
    <cellStyle name="Normal 5 4 2 3 4 3" xfId="6072" xr:uid="{00000000-0005-0000-0000-0000E31A0000}"/>
    <cellStyle name="Normal 5 4 2 3 4 3 2" xfId="14511" xr:uid="{0AAED53F-964C-4320-8AD6-4C94DDEC2337}"/>
    <cellStyle name="Normal 5 4 2 3 4 4" xfId="10293" xr:uid="{2B4E30CE-32F6-4B3B-BC8A-93D0F0BA549D}"/>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A517B75C-35D4-4B51-964C-6BFB282CEF5A}"/>
    <cellStyle name="Normal 5 4 2 3 5 2 3" xfId="12851" xr:uid="{3202AE9E-BB32-455C-ADB9-771FB1219912}"/>
    <cellStyle name="Normal 5 4 2 3 5 3" xfId="6485" xr:uid="{00000000-0005-0000-0000-0000E71A0000}"/>
    <cellStyle name="Normal 5 4 2 3 5 3 2" xfId="14924" xr:uid="{0F63A22F-AB9D-4F7D-A792-42BBC8274D91}"/>
    <cellStyle name="Normal 5 4 2 3 5 4" xfId="10706" xr:uid="{78353F3C-656E-4BFA-A355-F3FFF67B1112}"/>
    <cellStyle name="Normal 5 4 2 3 6" xfId="2614" xr:uid="{00000000-0005-0000-0000-0000E81A0000}"/>
    <cellStyle name="Normal 5 4 2 3 6 2" xfId="6898" xr:uid="{00000000-0005-0000-0000-0000E91A0000}"/>
    <cellStyle name="Normal 5 4 2 3 6 2 2" xfId="15337" xr:uid="{FD898F47-ECB3-4E5A-8B00-0C15EF1302D2}"/>
    <cellStyle name="Normal 5 4 2 3 6 3" xfId="11119" xr:uid="{3F8C64C0-F9E8-4A6F-872B-6505D860AB83}"/>
    <cellStyle name="Normal 5 4 2 3 7" xfId="4833" xr:uid="{00000000-0005-0000-0000-0000EA1A0000}"/>
    <cellStyle name="Normal 5 4 2 3 7 2" xfId="13272" xr:uid="{20628B9C-2C61-4A56-B216-84BD7B8AEAE4}"/>
    <cellStyle name="Normal 5 4 2 3 8" xfId="9054" xr:uid="{142AE29C-A0B8-466B-8008-EF04FA449ED9}"/>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6E803F11-7BE9-4934-B1C7-A5719E9C6723}"/>
    <cellStyle name="Normal 5 4 2 4 2 3" xfId="11609" xr:uid="{6DE3451B-1F6C-4FA0-B0F8-00D6BB1E06D9}"/>
    <cellStyle name="Normal 5 4 2 4 3" xfId="5243" xr:uid="{00000000-0005-0000-0000-0000EE1A0000}"/>
    <cellStyle name="Normal 5 4 2 4 3 2" xfId="13682" xr:uid="{42BCCC5C-A082-44AA-9545-0D5D6A455403}"/>
    <cellStyle name="Normal 5 4 2 4 4" xfId="9464" xr:uid="{18CBACCA-16AC-4465-8D26-20A3AAFF28A5}"/>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3F165F61-5A11-416B-B047-53A7E42716B2}"/>
    <cellStyle name="Normal 5 4 2 5 2 3" xfId="12022" xr:uid="{D5780CD7-4430-456A-AF6E-D476E71085E5}"/>
    <cellStyle name="Normal 5 4 2 5 3" xfId="5656" xr:uid="{00000000-0005-0000-0000-0000F21A0000}"/>
    <cellStyle name="Normal 5 4 2 5 3 2" xfId="14095" xr:uid="{0A1FB7C0-B3AF-4410-B4C6-214277C609EC}"/>
    <cellStyle name="Normal 5 4 2 5 4" xfId="9877" xr:uid="{0DD9D6B8-672D-4D6F-B908-CCCA926A9F71}"/>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161CD570-1C8A-48E1-BB1B-C3720B86BE93}"/>
    <cellStyle name="Normal 5 4 2 6 2 3" xfId="12435" xr:uid="{7387C6B0-48C9-48C9-886E-89A8975BF5FD}"/>
    <cellStyle name="Normal 5 4 2 6 3" xfId="6069" xr:uid="{00000000-0005-0000-0000-0000F61A0000}"/>
    <cellStyle name="Normal 5 4 2 6 3 2" xfId="14508" xr:uid="{D24B0CE1-1804-4A9E-9A74-6339BFA187AA}"/>
    <cellStyle name="Normal 5 4 2 6 4" xfId="10290" xr:uid="{34EE861F-9A13-415E-BFC4-9542337A520D}"/>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C5285F0D-DF20-40CB-9561-2275E65D31C2}"/>
    <cellStyle name="Normal 5 4 2 7 2 3" xfId="12848" xr:uid="{42E29F1F-85C6-42A1-9076-9BCBD26470F9}"/>
    <cellStyle name="Normal 5 4 2 7 3" xfId="6482" xr:uid="{00000000-0005-0000-0000-0000FA1A0000}"/>
    <cellStyle name="Normal 5 4 2 7 3 2" xfId="14921" xr:uid="{60682D90-7939-41CA-B746-0FEF4CB36202}"/>
    <cellStyle name="Normal 5 4 2 7 4" xfId="10703" xr:uid="{AA574F20-B7C3-4AD4-9CC4-C5D46BB2739F}"/>
    <cellStyle name="Normal 5 4 2 8" xfId="2611" xr:uid="{00000000-0005-0000-0000-0000FB1A0000}"/>
    <cellStyle name="Normal 5 4 2 8 2" xfId="6895" xr:uid="{00000000-0005-0000-0000-0000FC1A0000}"/>
    <cellStyle name="Normal 5 4 2 8 2 2" xfId="15334" xr:uid="{06A3F544-0CA1-4BE6-B504-B879E4F3D0A4}"/>
    <cellStyle name="Normal 5 4 2 8 3" xfId="11116" xr:uid="{BD6EF708-120A-4A6B-B913-7C58A341F3D1}"/>
    <cellStyle name="Normal 5 4 2 9" xfId="4830" xr:uid="{00000000-0005-0000-0000-0000FD1A0000}"/>
    <cellStyle name="Normal 5 4 2 9 2" xfId="13269" xr:uid="{DE9FDFF4-F58F-497E-8792-457C3459A4D7}"/>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74E67ACA-59FD-4D54-A7E7-F289D253E0DB}"/>
    <cellStyle name="Normal 5 4 3 2 2 2 3" xfId="11614" xr:uid="{6D91A818-5221-436C-A93E-E5D2AFF58968}"/>
    <cellStyle name="Normal 5 4 3 2 2 3" xfId="5248" xr:uid="{00000000-0005-0000-0000-0000031B0000}"/>
    <cellStyle name="Normal 5 4 3 2 2 3 2" xfId="13687" xr:uid="{4307D271-1838-4630-AE4D-2CC5C9D319C9}"/>
    <cellStyle name="Normal 5 4 3 2 2 4" xfId="9469" xr:uid="{5102980F-BD77-4E55-8A18-23D1B89EADB3}"/>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8F24B593-D706-4233-BC88-3C8F19371C7C}"/>
    <cellStyle name="Normal 5 4 3 2 3 2 3" xfId="12027" xr:uid="{519819FC-55F6-4285-A650-CC944595C8F9}"/>
    <cellStyle name="Normal 5 4 3 2 3 3" xfId="5661" xr:uid="{00000000-0005-0000-0000-0000071B0000}"/>
    <cellStyle name="Normal 5 4 3 2 3 3 2" xfId="14100" xr:uid="{0EB5497B-D479-4955-89B8-81B4BCC72966}"/>
    <cellStyle name="Normal 5 4 3 2 3 4" xfId="9882" xr:uid="{285D706D-CA04-4367-B930-85E2D55B8F06}"/>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823150A3-9151-482A-A1B8-4C5D9568F1CF}"/>
    <cellStyle name="Normal 5 4 3 2 4 2 3" xfId="12440" xr:uid="{EF6B717E-78EE-4CE0-AA0E-86A207A8FAD7}"/>
    <cellStyle name="Normal 5 4 3 2 4 3" xfId="6074" xr:uid="{00000000-0005-0000-0000-00000B1B0000}"/>
    <cellStyle name="Normal 5 4 3 2 4 3 2" xfId="14513" xr:uid="{DEAB9D47-E8B9-4F11-9DB6-E3C2407C53E0}"/>
    <cellStyle name="Normal 5 4 3 2 4 4" xfId="10295" xr:uid="{979AC40F-33C8-4423-B8AD-48B01058C820}"/>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EDC2DB17-6975-4776-B5D6-60DC51255830}"/>
    <cellStyle name="Normal 5 4 3 2 5 2 3" xfId="12853" xr:uid="{81B6C3D4-8F74-401E-9880-6C21447E4534}"/>
    <cellStyle name="Normal 5 4 3 2 5 3" xfId="6487" xr:uid="{00000000-0005-0000-0000-00000F1B0000}"/>
    <cellStyle name="Normal 5 4 3 2 5 3 2" xfId="14926" xr:uid="{15FE33A0-1F61-4769-9E8A-E55BFB4085F4}"/>
    <cellStyle name="Normal 5 4 3 2 5 4" xfId="10708" xr:uid="{A5CFD1CF-F06F-4133-9E6A-64219847B9B4}"/>
    <cellStyle name="Normal 5 4 3 2 6" xfId="2616" xr:uid="{00000000-0005-0000-0000-0000101B0000}"/>
    <cellStyle name="Normal 5 4 3 2 6 2" xfId="6900" xr:uid="{00000000-0005-0000-0000-0000111B0000}"/>
    <cellStyle name="Normal 5 4 3 2 6 2 2" xfId="15339" xr:uid="{375A608C-7854-4E10-8651-5FBF5E9D10CE}"/>
    <cellStyle name="Normal 5 4 3 2 6 3" xfId="11121" xr:uid="{7DF02961-221C-4606-8EDA-84ADAD49D925}"/>
    <cellStyle name="Normal 5 4 3 2 7" xfId="4835" xr:uid="{00000000-0005-0000-0000-0000121B0000}"/>
    <cellStyle name="Normal 5 4 3 2 7 2" xfId="13274" xr:uid="{1CCBDADF-384A-4D4F-8161-DD9533558D9F}"/>
    <cellStyle name="Normal 5 4 3 2 8" xfId="9056" xr:uid="{86E3B400-2D32-4BB9-910A-E52AFF44196C}"/>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1A28F89C-A845-4A76-942F-638414000104}"/>
    <cellStyle name="Normal 5 4 3 3 2 3" xfId="11613" xr:uid="{3969C010-FC68-41E7-87CC-CD7A3214FE74}"/>
    <cellStyle name="Normal 5 4 3 3 3" xfId="5247" xr:uid="{00000000-0005-0000-0000-0000161B0000}"/>
    <cellStyle name="Normal 5 4 3 3 3 2" xfId="13686" xr:uid="{A6DD025A-C875-427A-BC56-0058313B781F}"/>
    <cellStyle name="Normal 5 4 3 3 4" xfId="9468" xr:uid="{EF4F5215-4F65-4693-8FB4-61FA3847BCD5}"/>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14ABE307-CC9D-4CE5-A5CE-B426BBE11BF9}"/>
    <cellStyle name="Normal 5 4 3 4 2 3" xfId="12026" xr:uid="{5C02D954-A74F-44FF-8ACC-78D31CCD0582}"/>
    <cellStyle name="Normal 5 4 3 4 3" xfId="5660" xr:uid="{00000000-0005-0000-0000-00001A1B0000}"/>
    <cellStyle name="Normal 5 4 3 4 3 2" xfId="14099" xr:uid="{F502489F-2FEE-4219-9061-8BDCA4767942}"/>
    <cellStyle name="Normal 5 4 3 4 4" xfId="9881" xr:uid="{0633A1F6-4345-4862-8120-AA7672C3D6BB}"/>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BDB8E532-8C5B-4917-A6EE-E3CD06BDA7C8}"/>
    <cellStyle name="Normal 5 4 3 5 2 3" xfId="12439" xr:uid="{E5622B9B-B267-43D5-9EA7-3AD9499EECF7}"/>
    <cellStyle name="Normal 5 4 3 5 3" xfId="6073" xr:uid="{00000000-0005-0000-0000-00001E1B0000}"/>
    <cellStyle name="Normal 5 4 3 5 3 2" xfId="14512" xr:uid="{5DCD8F88-703A-4F38-8983-B7BBC81E42E8}"/>
    <cellStyle name="Normal 5 4 3 5 4" xfId="10294" xr:uid="{5D97CBFF-39AE-484F-85E8-D851E544E4AF}"/>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64F545B3-5BB6-429E-BB9A-C2F3A025242B}"/>
    <cellStyle name="Normal 5 4 3 6 2 3" xfId="12852" xr:uid="{3D02735A-F8B3-46E5-A238-162E0FD2F414}"/>
    <cellStyle name="Normal 5 4 3 6 3" xfId="6486" xr:uid="{00000000-0005-0000-0000-0000221B0000}"/>
    <cellStyle name="Normal 5 4 3 6 3 2" xfId="14925" xr:uid="{16FB7FEE-8B41-4AA3-9BAB-60A55571D6C7}"/>
    <cellStyle name="Normal 5 4 3 6 4" xfId="10707" xr:uid="{C943DE86-90B2-42E8-8A30-25CF0F62A069}"/>
    <cellStyle name="Normal 5 4 3 7" xfId="2615" xr:uid="{00000000-0005-0000-0000-0000231B0000}"/>
    <cellStyle name="Normal 5 4 3 7 2" xfId="6899" xr:uid="{00000000-0005-0000-0000-0000241B0000}"/>
    <cellStyle name="Normal 5 4 3 7 2 2" xfId="15338" xr:uid="{952D8F2E-5051-45EA-A0C7-F22F2D766F0A}"/>
    <cellStyle name="Normal 5 4 3 7 3" xfId="11120" xr:uid="{2896B446-7EDC-4163-90CF-9E475F3391D0}"/>
    <cellStyle name="Normal 5 4 3 8" xfId="4834" xr:uid="{00000000-0005-0000-0000-0000251B0000}"/>
    <cellStyle name="Normal 5 4 3 8 2" xfId="13273" xr:uid="{C306986C-0257-4F92-8940-63F1783A97F7}"/>
    <cellStyle name="Normal 5 4 3 9" xfId="9055" xr:uid="{63CA9951-1D2A-4A75-9CD8-DEF3DB2860A3}"/>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684F1956-D8A5-40A9-918B-666DD26CD9A2}"/>
    <cellStyle name="Normal 5 4 4 2 2 3" xfId="11615" xr:uid="{C9F25FEE-0C6A-4D4A-9EEF-F57E487FB064}"/>
    <cellStyle name="Normal 5 4 4 2 3" xfId="5249" xr:uid="{00000000-0005-0000-0000-00002A1B0000}"/>
    <cellStyle name="Normal 5 4 4 2 3 2" xfId="13688" xr:uid="{1F6FD200-1CF9-43AD-85F2-BA4E7355C38B}"/>
    <cellStyle name="Normal 5 4 4 2 4" xfId="9470" xr:uid="{21C22954-30C0-440D-9037-F199564AEA3C}"/>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A549D6BA-F6C4-4682-906D-686EF7FC4B45}"/>
    <cellStyle name="Normal 5 4 4 3 2 3" xfId="12028" xr:uid="{6BEF7F69-9FE8-403A-A785-3D6448B018C7}"/>
    <cellStyle name="Normal 5 4 4 3 3" xfId="5662" xr:uid="{00000000-0005-0000-0000-00002E1B0000}"/>
    <cellStyle name="Normal 5 4 4 3 3 2" xfId="14101" xr:uid="{7F913C86-1F13-440F-B9BF-A343AC3641BD}"/>
    <cellStyle name="Normal 5 4 4 3 4" xfId="9883" xr:uid="{05050759-5771-4B89-9750-863D438FFC69}"/>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9B3B6D2B-9675-46F0-A3A9-FD2B95EDF0DF}"/>
    <cellStyle name="Normal 5 4 4 4 2 3" xfId="12441" xr:uid="{B73924AE-6CD0-41F8-BBA3-32380EF2279F}"/>
    <cellStyle name="Normal 5 4 4 4 3" xfId="6075" xr:uid="{00000000-0005-0000-0000-0000321B0000}"/>
    <cellStyle name="Normal 5 4 4 4 3 2" xfId="14514" xr:uid="{DE7D6314-254D-4DF2-8DBA-0AF06CDB415E}"/>
    <cellStyle name="Normal 5 4 4 4 4" xfId="10296" xr:uid="{6BE515D0-A44C-4BF6-8096-0B85FDD66CD2}"/>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C0741A4E-7535-4DE4-924A-9FCD595B6D50}"/>
    <cellStyle name="Normal 5 4 4 5 2 3" xfId="12854" xr:uid="{85E7403C-84A3-41CC-8AED-CCC3EFFD5F00}"/>
    <cellStyle name="Normal 5 4 4 5 3" xfId="6488" xr:uid="{00000000-0005-0000-0000-0000361B0000}"/>
    <cellStyle name="Normal 5 4 4 5 3 2" xfId="14927" xr:uid="{D656526B-68C2-47E2-A4B3-9AF73BB7CB66}"/>
    <cellStyle name="Normal 5 4 4 5 4" xfId="10709" xr:uid="{4C319FEC-96F2-497A-B8DF-EF5259C36A1C}"/>
    <cellStyle name="Normal 5 4 4 6" xfId="2617" xr:uid="{00000000-0005-0000-0000-0000371B0000}"/>
    <cellStyle name="Normal 5 4 4 6 2" xfId="6901" xr:uid="{00000000-0005-0000-0000-0000381B0000}"/>
    <cellStyle name="Normal 5 4 4 6 2 2" xfId="15340" xr:uid="{9BD77C06-2E99-4406-B331-2CAAD3F6EEC1}"/>
    <cellStyle name="Normal 5 4 4 6 3" xfId="11122" xr:uid="{7448CD64-3B43-462D-AE65-A922EA774529}"/>
    <cellStyle name="Normal 5 4 4 7" xfId="4836" xr:uid="{00000000-0005-0000-0000-0000391B0000}"/>
    <cellStyle name="Normal 5 4 4 7 2" xfId="13275" xr:uid="{462A46F0-2777-4EE3-B52B-EA92BB766497}"/>
    <cellStyle name="Normal 5 4 4 8" xfId="9057" xr:uid="{7E105EEF-B265-41AB-9655-94B3A82F13E5}"/>
    <cellStyle name="Normal 5 4 5" xfId="930" xr:uid="{00000000-0005-0000-0000-00003A1B0000}"/>
    <cellStyle name="Normal 5 4 5 2" xfId="3164" xr:uid="{00000000-0005-0000-0000-00003B1B0000}"/>
    <cellStyle name="Normal 5 4 5 2 2" xfId="7387" xr:uid="{00000000-0005-0000-0000-00003C1B0000}"/>
    <cellStyle name="Normal 5 4 5 2 2 2" xfId="15826" xr:uid="{4A123009-0E9B-4B2B-B6FF-F089C5A87C77}"/>
    <cellStyle name="Normal 5 4 5 2 3" xfId="11608" xr:uid="{97D71D30-FB8D-41F1-BB95-1BAD4AA9C334}"/>
    <cellStyle name="Normal 5 4 5 3" xfId="5242" xr:uid="{00000000-0005-0000-0000-00003D1B0000}"/>
    <cellStyle name="Normal 5 4 5 3 2" xfId="13681" xr:uid="{75E9EE5D-94C8-4A72-B1BE-9BFCA99C43A4}"/>
    <cellStyle name="Normal 5 4 5 4" xfId="9463" xr:uid="{0166B5D8-0B1E-41C9-B118-ACF91DE6C029}"/>
    <cellStyle name="Normal 5 4 6" xfId="1347" xr:uid="{00000000-0005-0000-0000-00003E1B0000}"/>
    <cellStyle name="Normal 5 4 6 2" xfId="3577" xr:uid="{00000000-0005-0000-0000-00003F1B0000}"/>
    <cellStyle name="Normal 5 4 6 2 2" xfId="7800" xr:uid="{00000000-0005-0000-0000-0000401B0000}"/>
    <cellStyle name="Normal 5 4 6 2 2 2" xfId="16239" xr:uid="{14A6B785-EBC9-4F7E-BCD4-AFCFC0325EFD}"/>
    <cellStyle name="Normal 5 4 6 2 3" xfId="12021" xr:uid="{58A51D6A-1062-4FCE-ADA2-9FD5DBAC3265}"/>
    <cellStyle name="Normal 5 4 6 3" xfId="5655" xr:uid="{00000000-0005-0000-0000-0000411B0000}"/>
    <cellStyle name="Normal 5 4 6 3 2" xfId="14094" xr:uid="{F52A371D-4D72-4F64-8E94-27C7649666CF}"/>
    <cellStyle name="Normal 5 4 6 4" xfId="9876" xr:uid="{54A66F00-B4C1-430D-B720-ADBBCF75F839}"/>
    <cellStyle name="Normal 5 4 7" xfId="1760" xr:uid="{00000000-0005-0000-0000-0000421B0000}"/>
    <cellStyle name="Normal 5 4 7 2" xfId="3990" xr:uid="{00000000-0005-0000-0000-0000431B0000}"/>
    <cellStyle name="Normal 5 4 7 2 2" xfId="8213" xr:uid="{00000000-0005-0000-0000-0000441B0000}"/>
    <cellStyle name="Normal 5 4 7 2 2 2" xfId="16652" xr:uid="{3553FAE5-DC8C-493F-A595-BFDADD039614}"/>
    <cellStyle name="Normal 5 4 7 2 3" xfId="12434" xr:uid="{2ECA8F28-DB78-4ABE-A3C2-E16941567193}"/>
    <cellStyle name="Normal 5 4 7 3" xfId="6068" xr:uid="{00000000-0005-0000-0000-0000451B0000}"/>
    <cellStyle name="Normal 5 4 7 3 2" xfId="14507" xr:uid="{884EEA5B-D52E-43D1-81E8-A4E0598E1EF3}"/>
    <cellStyle name="Normal 5 4 7 4" xfId="10289" xr:uid="{CF79E53D-307D-4BF4-9210-BC3ABA2F216C}"/>
    <cellStyle name="Normal 5 4 8" xfId="2174" xr:uid="{00000000-0005-0000-0000-0000461B0000}"/>
    <cellStyle name="Normal 5 4 8 2" xfId="4403" xr:uid="{00000000-0005-0000-0000-0000471B0000}"/>
    <cellStyle name="Normal 5 4 8 2 2" xfId="8626" xr:uid="{00000000-0005-0000-0000-0000481B0000}"/>
    <cellStyle name="Normal 5 4 8 2 2 2" xfId="17065" xr:uid="{AE47361E-6647-49C7-8FB5-B7032815408D}"/>
    <cellStyle name="Normal 5 4 8 2 3" xfId="12847" xr:uid="{A6AAA35B-04ED-48B8-9C9A-B41E6FC93BC1}"/>
    <cellStyle name="Normal 5 4 8 3" xfId="6481" xr:uid="{00000000-0005-0000-0000-0000491B0000}"/>
    <cellStyle name="Normal 5 4 8 3 2" xfId="14920" xr:uid="{C50B6DE5-9E26-4AF7-82BA-5B0E5B8697F7}"/>
    <cellStyle name="Normal 5 4 8 4" xfId="10702" xr:uid="{E096E211-95C0-46FD-82F8-189682D4E6FE}"/>
    <cellStyle name="Normal 5 4 9" xfId="2610" xr:uid="{00000000-0005-0000-0000-00004A1B0000}"/>
    <cellStyle name="Normal 5 4 9 2" xfId="6894" xr:uid="{00000000-0005-0000-0000-00004B1B0000}"/>
    <cellStyle name="Normal 5 4 9 2 2" xfId="15333" xr:uid="{424015CD-FAAE-4E44-A7D3-59FA412E0130}"/>
    <cellStyle name="Normal 5 4 9 3" xfId="11115" xr:uid="{56E88207-D077-4F0C-ABCB-11ECAD332D79}"/>
    <cellStyle name="Normal 5 5" xfId="464" xr:uid="{00000000-0005-0000-0000-00004C1B0000}"/>
    <cellStyle name="Normal 5 5 10" xfId="9058" xr:uid="{9239B1F3-4E09-439A-917C-A0A5E252A969}"/>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53CA8391-61BE-4424-99DA-3CF759FCACDF}"/>
    <cellStyle name="Normal 5 5 2 2 2 2 3" xfId="11618" xr:uid="{FBF5FE1F-8EB1-45D4-AE24-5F43409E6B0E}"/>
    <cellStyle name="Normal 5 5 2 2 2 3" xfId="5252" xr:uid="{00000000-0005-0000-0000-0000521B0000}"/>
    <cellStyle name="Normal 5 5 2 2 2 3 2" xfId="13691" xr:uid="{A8574C94-1DC6-4A57-9805-7CE821B0AB87}"/>
    <cellStyle name="Normal 5 5 2 2 2 4" xfId="9473" xr:uid="{35A3BF28-2F47-4D05-858D-3B9EE4354F7F}"/>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B2347F99-2CCE-420D-A5EF-24003E7C67A6}"/>
    <cellStyle name="Normal 5 5 2 2 3 2 3" xfId="12031" xr:uid="{D6441EAC-5261-4BEE-AF40-5E76234E9723}"/>
    <cellStyle name="Normal 5 5 2 2 3 3" xfId="5665" xr:uid="{00000000-0005-0000-0000-0000561B0000}"/>
    <cellStyle name="Normal 5 5 2 2 3 3 2" xfId="14104" xr:uid="{1FEC9606-CB28-4E58-AD49-3C3E5905DE8F}"/>
    <cellStyle name="Normal 5 5 2 2 3 4" xfId="9886" xr:uid="{E6CDC7B8-5D18-4257-B647-0FB0DE18F77B}"/>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D8A43956-AB0F-41B2-A8E8-7A8EC431FAB2}"/>
    <cellStyle name="Normal 5 5 2 2 4 2 3" xfId="12444" xr:uid="{BB98FDAB-679B-432C-8FAE-8842CB9109BB}"/>
    <cellStyle name="Normal 5 5 2 2 4 3" xfId="6078" xr:uid="{00000000-0005-0000-0000-00005A1B0000}"/>
    <cellStyle name="Normal 5 5 2 2 4 3 2" xfId="14517" xr:uid="{26A56A0C-3842-4BDA-AEEB-1EA6DBB1ADF0}"/>
    <cellStyle name="Normal 5 5 2 2 4 4" xfId="10299" xr:uid="{AD61E8D1-25E6-4907-8E6B-3DAAD27D7B02}"/>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84DFDCEC-D9A6-4A7E-9C16-DAAADA0123FE}"/>
    <cellStyle name="Normal 5 5 2 2 5 2 3" xfId="12857" xr:uid="{EC6BD695-54C4-4A58-9963-0EE75F630B73}"/>
    <cellStyle name="Normal 5 5 2 2 5 3" xfId="6491" xr:uid="{00000000-0005-0000-0000-00005E1B0000}"/>
    <cellStyle name="Normal 5 5 2 2 5 3 2" xfId="14930" xr:uid="{CFB83C18-8062-4A40-8C16-7DED5588E131}"/>
    <cellStyle name="Normal 5 5 2 2 5 4" xfId="10712" xr:uid="{4781DCD5-5241-4022-A769-32039E58B08C}"/>
    <cellStyle name="Normal 5 5 2 2 6" xfId="2620" xr:uid="{00000000-0005-0000-0000-00005F1B0000}"/>
    <cellStyle name="Normal 5 5 2 2 6 2" xfId="6904" xr:uid="{00000000-0005-0000-0000-0000601B0000}"/>
    <cellStyle name="Normal 5 5 2 2 6 2 2" xfId="15343" xr:uid="{4124FE93-D3A2-485A-B254-DD1DB25EA756}"/>
    <cellStyle name="Normal 5 5 2 2 6 3" xfId="11125" xr:uid="{CE165829-CEEB-4217-8610-9314D0399893}"/>
    <cellStyle name="Normal 5 5 2 2 7" xfId="4839" xr:uid="{00000000-0005-0000-0000-0000611B0000}"/>
    <cellStyle name="Normal 5 5 2 2 7 2" xfId="13278" xr:uid="{13F1F063-8D1C-4183-B07D-3E5C678ADFF3}"/>
    <cellStyle name="Normal 5 5 2 2 8" xfId="9060" xr:uid="{1F03BC1B-A4E2-415D-A51E-79EFB3164213}"/>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C331DFC2-1C62-4178-9A3D-40ECC2C66B96}"/>
    <cellStyle name="Normal 5 5 2 3 2 3" xfId="11617" xr:uid="{BEF96092-9EC4-4186-B02F-4FA0FA10A541}"/>
    <cellStyle name="Normal 5 5 2 3 3" xfId="5251" xr:uid="{00000000-0005-0000-0000-0000651B0000}"/>
    <cellStyle name="Normal 5 5 2 3 3 2" xfId="13690" xr:uid="{20CD68A8-33D0-4479-8C40-667398F43BE2}"/>
    <cellStyle name="Normal 5 5 2 3 4" xfId="9472" xr:uid="{C192A36E-6D0B-49E3-AE8F-B393504791A2}"/>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0F92195A-59ED-4720-8A0B-677CAFE346A2}"/>
    <cellStyle name="Normal 5 5 2 4 2 3" xfId="12030" xr:uid="{8D01054F-4F8E-4D0A-8A2D-CFFCB9069C7F}"/>
    <cellStyle name="Normal 5 5 2 4 3" xfId="5664" xr:uid="{00000000-0005-0000-0000-0000691B0000}"/>
    <cellStyle name="Normal 5 5 2 4 3 2" xfId="14103" xr:uid="{23AE27DB-75AD-4605-B79E-70BF1CC45C42}"/>
    <cellStyle name="Normal 5 5 2 4 4" xfId="9885" xr:uid="{A2CC599E-627F-4602-96B5-D5D81D74943C}"/>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2E8CAB8C-9DFA-46AF-8B90-FB535701D5D4}"/>
    <cellStyle name="Normal 5 5 2 5 2 3" xfId="12443" xr:uid="{7DFCBA30-F6FE-4716-B394-ECB179FADF8C}"/>
    <cellStyle name="Normal 5 5 2 5 3" xfId="6077" xr:uid="{00000000-0005-0000-0000-00006D1B0000}"/>
    <cellStyle name="Normal 5 5 2 5 3 2" xfId="14516" xr:uid="{33639EE2-1330-4074-90C1-A3E634C8C410}"/>
    <cellStyle name="Normal 5 5 2 5 4" xfId="10298" xr:uid="{BA51BB18-464E-4300-958E-2077FFA630C2}"/>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DD79042F-95E4-420E-B37D-5382F359CAAB}"/>
    <cellStyle name="Normal 5 5 2 6 2 3" xfId="12856" xr:uid="{B8C9629A-8DDF-4DF6-A346-E57E542FB64B}"/>
    <cellStyle name="Normal 5 5 2 6 3" xfId="6490" xr:uid="{00000000-0005-0000-0000-0000711B0000}"/>
    <cellStyle name="Normal 5 5 2 6 3 2" xfId="14929" xr:uid="{0A86B518-1588-4999-95AB-3574EE74A952}"/>
    <cellStyle name="Normal 5 5 2 6 4" xfId="10711" xr:uid="{46CD1C00-F0A8-497A-8D48-7ED57567E6CE}"/>
    <cellStyle name="Normal 5 5 2 7" xfId="2619" xr:uid="{00000000-0005-0000-0000-0000721B0000}"/>
    <cellStyle name="Normal 5 5 2 7 2" xfId="6903" xr:uid="{00000000-0005-0000-0000-0000731B0000}"/>
    <cellStyle name="Normal 5 5 2 7 2 2" xfId="15342" xr:uid="{8C46F1F9-9FED-46DE-9747-F2518B143E8B}"/>
    <cellStyle name="Normal 5 5 2 7 3" xfId="11124" xr:uid="{B0AD42D7-9EF0-402B-982A-DB51C24B000F}"/>
    <cellStyle name="Normal 5 5 2 8" xfId="4838" xr:uid="{00000000-0005-0000-0000-0000741B0000}"/>
    <cellStyle name="Normal 5 5 2 8 2" xfId="13277" xr:uid="{5B295D1E-4C6D-401F-B265-8AE894A1C3C2}"/>
    <cellStyle name="Normal 5 5 2 9" xfId="9059" xr:uid="{A3E83738-8D24-45E0-BFB2-378FF6410E0A}"/>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CC663499-9AB0-4D3C-BDCE-9E26FA971483}"/>
    <cellStyle name="Normal 5 5 3 2 2 3" xfId="11619" xr:uid="{CE56FE4C-BDBB-4245-98F2-37EAA67ACADA}"/>
    <cellStyle name="Normal 5 5 3 2 3" xfId="5253" xr:uid="{00000000-0005-0000-0000-0000791B0000}"/>
    <cellStyle name="Normal 5 5 3 2 3 2" xfId="13692" xr:uid="{7E739091-4D35-4686-8E17-10A409867D12}"/>
    <cellStyle name="Normal 5 5 3 2 4" xfId="9474" xr:uid="{D491CF15-58A0-4D8F-B03C-418C18773DD9}"/>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6A0A0C68-FD6D-453C-AEE2-44B8AA6F5655}"/>
    <cellStyle name="Normal 5 5 3 3 2 3" xfId="12032" xr:uid="{B23518BC-08DA-487B-A240-25FCB1836C3C}"/>
    <cellStyle name="Normal 5 5 3 3 3" xfId="5666" xr:uid="{00000000-0005-0000-0000-00007D1B0000}"/>
    <cellStyle name="Normal 5 5 3 3 3 2" xfId="14105" xr:uid="{1C972BB3-F65D-4A95-A80F-A29F600C877A}"/>
    <cellStyle name="Normal 5 5 3 3 4" xfId="9887" xr:uid="{77239597-851F-4DC4-B57F-F91F5344D8E2}"/>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94007781-93B7-40F5-AE6C-783B83618257}"/>
    <cellStyle name="Normal 5 5 3 4 2 3" xfId="12445" xr:uid="{1B93EDBF-B4C9-459E-93F8-7D36595ABC56}"/>
    <cellStyle name="Normal 5 5 3 4 3" xfId="6079" xr:uid="{00000000-0005-0000-0000-0000811B0000}"/>
    <cellStyle name="Normal 5 5 3 4 3 2" xfId="14518" xr:uid="{6D6229F1-E20C-4B81-B181-717B01C5C53C}"/>
    <cellStyle name="Normal 5 5 3 4 4" xfId="10300" xr:uid="{B11CD284-09D4-444E-B2A8-8C59CA511907}"/>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330A738C-70DF-47A7-BF9D-6FB855369A11}"/>
    <cellStyle name="Normal 5 5 3 5 2 3" xfId="12858" xr:uid="{2510B298-3EBC-416D-BDEE-F48ABCB921DC}"/>
    <cellStyle name="Normal 5 5 3 5 3" xfId="6492" xr:uid="{00000000-0005-0000-0000-0000851B0000}"/>
    <cellStyle name="Normal 5 5 3 5 3 2" xfId="14931" xr:uid="{871484CE-BAC7-4A7A-9E91-9C1530088BA3}"/>
    <cellStyle name="Normal 5 5 3 5 4" xfId="10713" xr:uid="{F785BF46-0EAE-46A5-AE59-16753AD3BD58}"/>
    <cellStyle name="Normal 5 5 3 6" xfId="2621" xr:uid="{00000000-0005-0000-0000-0000861B0000}"/>
    <cellStyle name="Normal 5 5 3 6 2" xfId="6905" xr:uid="{00000000-0005-0000-0000-0000871B0000}"/>
    <cellStyle name="Normal 5 5 3 6 2 2" xfId="15344" xr:uid="{1909F371-AD45-4BFF-B775-DF95DD1E42D7}"/>
    <cellStyle name="Normal 5 5 3 6 3" xfId="11126" xr:uid="{8931189B-D582-48FC-AF94-2DF0F5F386A4}"/>
    <cellStyle name="Normal 5 5 3 7" xfId="4840" xr:uid="{00000000-0005-0000-0000-0000881B0000}"/>
    <cellStyle name="Normal 5 5 3 7 2" xfId="13279" xr:uid="{0B1EDF5F-D6E2-4DC9-B48E-0DD39E089F2E}"/>
    <cellStyle name="Normal 5 5 3 8" xfId="9061" xr:uid="{10A7F2C3-01CC-44B6-BA5B-57EEFA869C70}"/>
    <cellStyle name="Normal 5 5 4" xfId="938" xr:uid="{00000000-0005-0000-0000-0000891B0000}"/>
    <cellStyle name="Normal 5 5 4 2" xfId="3172" xr:uid="{00000000-0005-0000-0000-00008A1B0000}"/>
    <cellStyle name="Normal 5 5 4 2 2" xfId="7395" xr:uid="{00000000-0005-0000-0000-00008B1B0000}"/>
    <cellStyle name="Normal 5 5 4 2 2 2" xfId="15834" xr:uid="{D9EA8B35-CAD1-422F-845A-F481F2023238}"/>
    <cellStyle name="Normal 5 5 4 2 3" xfId="11616" xr:uid="{A76681C0-1687-4311-AB8F-019104C8F33B}"/>
    <cellStyle name="Normal 5 5 4 3" xfId="5250" xr:uid="{00000000-0005-0000-0000-00008C1B0000}"/>
    <cellStyle name="Normal 5 5 4 3 2" xfId="13689" xr:uid="{2D1A0F19-1ED5-4A74-B825-96692E3FCC6F}"/>
    <cellStyle name="Normal 5 5 4 4" xfId="9471" xr:uid="{050B64AD-370E-4946-8E2D-94F0E47ACC71}"/>
    <cellStyle name="Normal 5 5 5" xfId="1355" xr:uid="{00000000-0005-0000-0000-00008D1B0000}"/>
    <cellStyle name="Normal 5 5 5 2" xfId="3585" xr:uid="{00000000-0005-0000-0000-00008E1B0000}"/>
    <cellStyle name="Normal 5 5 5 2 2" xfId="7808" xr:uid="{00000000-0005-0000-0000-00008F1B0000}"/>
    <cellStyle name="Normal 5 5 5 2 2 2" xfId="16247" xr:uid="{6D45B8DF-65FC-4923-82D4-5166A7C68A2E}"/>
    <cellStyle name="Normal 5 5 5 2 3" xfId="12029" xr:uid="{10028AEC-D32B-4170-A91C-53EE6363A204}"/>
    <cellStyle name="Normal 5 5 5 3" xfId="5663" xr:uid="{00000000-0005-0000-0000-0000901B0000}"/>
    <cellStyle name="Normal 5 5 5 3 2" xfId="14102" xr:uid="{914C7B1C-6F7A-414E-983A-900899DF43BB}"/>
    <cellStyle name="Normal 5 5 5 4" xfId="9884" xr:uid="{4CB81FA6-6F36-4AE0-9357-7446C619B2F2}"/>
    <cellStyle name="Normal 5 5 6" xfId="1768" xr:uid="{00000000-0005-0000-0000-0000911B0000}"/>
    <cellStyle name="Normal 5 5 6 2" xfId="3998" xr:uid="{00000000-0005-0000-0000-0000921B0000}"/>
    <cellStyle name="Normal 5 5 6 2 2" xfId="8221" xr:uid="{00000000-0005-0000-0000-0000931B0000}"/>
    <cellStyle name="Normal 5 5 6 2 2 2" xfId="16660" xr:uid="{809E3904-4CD0-412F-98E8-88BC0676BB15}"/>
    <cellStyle name="Normal 5 5 6 2 3" xfId="12442" xr:uid="{FFE5DD14-4777-4C23-8C4F-CC76AA18D673}"/>
    <cellStyle name="Normal 5 5 6 3" xfId="6076" xr:uid="{00000000-0005-0000-0000-0000941B0000}"/>
    <cellStyle name="Normal 5 5 6 3 2" xfId="14515" xr:uid="{81D34BE8-F265-4D12-885E-F6AC4F8895F8}"/>
    <cellStyle name="Normal 5 5 6 4" xfId="10297" xr:uid="{00D644AC-1F4A-44B2-923C-2671EE9007EF}"/>
    <cellStyle name="Normal 5 5 7" xfId="2182" xr:uid="{00000000-0005-0000-0000-0000951B0000}"/>
    <cellStyle name="Normal 5 5 7 2" xfId="4411" xr:uid="{00000000-0005-0000-0000-0000961B0000}"/>
    <cellStyle name="Normal 5 5 7 2 2" xfId="8634" xr:uid="{00000000-0005-0000-0000-0000971B0000}"/>
    <cellStyle name="Normal 5 5 7 2 2 2" xfId="17073" xr:uid="{3E476C09-9C46-47A9-8F2A-1883A1C7C528}"/>
    <cellStyle name="Normal 5 5 7 2 3" xfId="12855" xr:uid="{B6F0EE57-87F2-41C3-9B14-606E0A09705B}"/>
    <cellStyle name="Normal 5 5 7 3" xfId="6489" xr:uid="{00000000-0005-0000-0000-0000981B0000}"/>
    <cellStyle name="Normal 5 5 7 3 2" xfId="14928" xr:uid="{65935530-E45C-48AC-A706-CF8045CB7526}"/>
    <cellStyle name="Normal 5 5 7 4" xfId="10710" xr:uid="{067AE279-412D-45A0-870F-66B9830B59F1}"/>
    <cellStyle name="Normal 5 5 8" xfId="2618" xr:uid="{00000000-0005-0000-0000-0000991B0000}"/>
    <cellStyle name="Normal 5 5 8 2" xfId="6902" xr:uid="{00000000-0005-0000-0000-00009A1B0000}"/>
    <cellStyle name="Normal 5 5 8 2 2" xfId="15341" xr:uid="{50944219-8696-4B01-8613-BC22F78874FE}"/>
    <cellStyle name="Normal 5 5 8 3" xfId="11123" xr:uid="{CA8B032E-2B0B-4B8B-8AC8-BA0AFA06369D}"/>
    <cellStyle name="Normal 5 5 9" xfId="4837" xr:uid="{00000000-0005-0000-0000-00009B1B0000}"/>
    <cellStyle name="Normal 5 5 9 2" xfId="13276" xr:uid="{25080265-A0CB-4C93-9D0B-B8BC01D9A3DB}"/>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5E33466D-8A30-4510-A2FA-012EE6EAA7DD}"/>
    <cellStyle name="Normal 5 6 2 2 2 3" xfId="11621" xr:uid="{A8984EEA-6149-456D-8879-8ED5C4712C9D}"/>
    <cellStyle name="Normal 5 6 2 2 3" xfId="5255" xr:uid="{00000000-0005-0000-0000-0000A11B0000}"/>
    <cellStyle name="Normal 5 6 2 2 3 2" xfId="13694" xr:uid="{F0896F6D-483E-4B71-9810-4BE4304587CA}"/>
    <cellStyle name="Normal 5 6 2 2 4" xfId="9476" xr:uid="{A8EA960C-1B06-4255-8220-7D7894CFFC82}"/>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29B23F52-5A62-4B28-A4B5-DB251F18CC9B}"/>
    <cellStyle name="Normal 5 6 2 3 2 3" xfId="12034" xr:uid="{43A27D0E-EC29-4087-8024-812DB777DAA7}"/>
    <cellStyle name="Normal 5 6 2 3 3" xfId="5668" xr:uid="{00000000-0005-0000-0000-0000A51B0000}"/>
    <cellStyle name="Normal 5 6 2 3 3 2" xfId="14107" xr:uid="{3C465633-9894-4A24-B211-09F21B07FB46}"/>
    <cellStyle name="Normal 5 6 2 3 4" xfId="9889" xr:uid="{DE95A76D-C317-4640-B61D-CAD3FD846EA5}"/>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BBBA21AD-752F-4E37-8B57-66FC063BC171}"/>
    <cellStyle name="Normal 5 6 2 4 2 3" xfId="12447" xr:uid="{4907CAD7-22C8-44F2-B3C5-C1D26B198F1A}"/>
    <cellStyle name="Normal 5 6 2 4 3" xfId="6081" xr:uid="{00000000-0005-0000-0000-0000A91B0000}"/>
    <cellStyle name="Normal 5 6 2 4 3 2" xfId="14520" xr:uid="{00649A3F-7AE6-4219-84EB-DB1997863641}"/>
    <cellStyle name="Normal 5 6 2 4 4" xfId="10302" xr:uid="{D6CBB74C-52EC-4AC1-A627-73AC0641FB61}"/>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DD26A8E7-5D49-4424-95F0-CEE63549F108}"/>
    <cellStyle name="Normal 5 6 2 5 2 3" xfId="12860" xr:uid="{A5A935DC-C800-449C-9525-85A86082D854}"/>
    <cellStyle name="Normal 5 6 2 5 3" xfId="6494" xr:uid="{00000000-0005-0000-0000-0000AD1B0000}"/>
    <cellStyle name="Normal 5 6 2 5 3 2" xfId="14933" xr:uid="{E1A525A5-D40D-4A1C-840A-D4A4AFCA284C}"/>
    <cellStyle name="Normal 5 6 2 5 4" xfId="10715" xr:uid="{B6FEB7D9-11A9-45C1-A221-462A4F3FD9CF}"/>
    <cellStyle name="Normal 5 6 2 6" xfId="2623" xr:uid="{00000000-0005-0000-0000-0000AE1B0000}"/>
    <cellStyle name="Normal 5 6 2 6 2" xfId="6907" xr:uid="{00000000-0005-0000-0000-0000AF1B0000}"/>
    <cellStyle name="Normal 5 6 2 6 2 2" xfId="15346" xr:uid="{78F3D6D5-8A1F-4AA6-8267-EA5C31A2608F}"/>
    <cellStyle name="Normal 5 6 2 6 3" xfId="11128" xr:uid="{A8D0DFA3-206F-41F2-A059-C6E098146662}"/>
    <cellStyle name="Normal 5 6 2 7" xfId="4842" xr:uid="{00000000-0005-0000-0000-0000B01B0000}"/>
    <cellStyle name="Normal 5 6 2 7 2" xfId="13281" xr:uid="{8A5243ED-FFAC-4BF5-84B7-A119C0C5A92A}"/>
    <cellStyle name="Normal 5 6 2 8" xfId="9063" xr:uid="{F66AFAE4-085B-48DE-9F8F-C656B6649C4C}"/>
    <cellStyle name="Normal 5 6 3" xfId="942" xr:uid="{00000000-0005-0000-0000-0000B11B0000}"/>
    <cellStyle name="Normal 5 6 3 2" xfId="3176" xr:uid="{00000000-0005-0000-0000-0000B21B0000}"/>
    <cellStyle name="Normal 5 6 3 2 2" xfId="7399" xr:uid="{00000000-0005-0000-0000-0000B31B0000}"/>
    <cellStyle name="Normal 5 6 3 2 2 2" xfId="15838" xr:uid="{E16F1DCE-F0AB-4604-BE1D-081D5623917A}"/>
    <cellStyle name="Normal 5 6 3 2 3" xfId="11620" xr:uid="{DBF6592A-04E3-4868-B547-91BBFD653CB0}"/>
    <cellStyle name="Normal 5 6 3 3" xfId="5254" xr:uid="{00000000-0005-0000-0000-0000B41B0000}"/>
    <cellStyle name="Normal 5 6 3 3 2" xfId="13693" xr:uid="{4CCA6C62-CD52-477B-B978-A120C7EDA978}"/>
    <cellStyle name="Normal 5 6 3 4" xfId="9475" xr:uid="{26FF1536-8F04-4A17-879D-B60CC521969E}"/>
    <cellStyle name="Normal 5 6 4" xfId="1359" xr:uid="{00000000-0005-0000-0000-0000B51B0000}"/>
    <cellStyle name="Normal 5 6 4 2" xfId="3589" xr:uid="{00000000-0005-0000-0000-0000B61B0000}"/>
    <cellStyle name="Normal 5 6 4 2 2" xfId="7812" xr:uid="{00000000-0005-0000-0000-0000B71B0000}"/>
    <cellStyle name="Normal 5 6 4 2 2 2" xfId="16251" xr:uid="{B96242B2-50CC-45C5-866C-7E5E54FA9784}"/>
    <cellStyle name="Normal 5 6 4 2 3" xfId="12033" xr:uid="{DD169D39-D9E6-4414-BB37-4426F51B6877}"/>
    <cellStyle name="Normal 5 6 4 3" xfId="5667" xr:uid="{00000000-0005-0000-0000-0000B81B0000}"/>
    <cellStyle name="Normal 5 6 4 3 2" xfId="14106" xr:uid="{04A6EF64-E378-45F1-AFCB-2C500583A1E4}"/>
    <cellStyle name="Normal 5 6 4 4" xfId="9888" xr:uid="{9D1C7855-DCEA-48E5-9E6D-AF5635649314}"/>
    <cellStyle name="Normal 5 6 5" xfId="1772" xr:uid="{00000000-0005-0000-0000-0000B91B0000}"/>
    <cellStyle name="Normal 5 6 5 2" xfId="4002" xr:uid="{00000000-0005-0000-0000-0000BA1B0000}"/>
    <cellStyle name="Normal 5 6 5 2 2" xfId="8225" xr:uid="{00000000-0005-0000-0000-0000BB1B0000}"/>
    <cellStyle name="Normal 5 6 5 2 2 2" xfId="16664" xr:uid="{81BAFDEE-1C19-40C8-A330-AD21907D61DD}"/>
    <cellStyle name="Normal 5 6 5 2 3" xfId="12446" xr:uid="{E699E560-5BB6-4234-9917-9DBC3A0B3E92}"/>
    <cellStyle name="Normal 5 6 5 3" xfId="6080" xr:uid="{00000000-0005-0000-0000-0000BC1B0000}"/>
    <cellStyle name="Normal 5 6 5 3 2" xfId="14519" xr:uid="{1A22C6BB-9C3F-416E-B66B-3ED8AA01246F}"/>
    <cellStyle name="Normal 5 6 5 4" xfId="10301" xr:uid="{4C7FBB84-BD85-4742-A9E4-2E548811225B}"/>
    <cellStyle name="Normal 5 6 6" xfId="2186" xr:uid="{00000000-0005-0000-0000-0000BD1B0000}"/>
    <cellStyle name="Normal 5 6 6 2" xfId="4415" xr:uid="{00000000-0005-0000-0000-0000BE1B0000}"/>
    <cellStyle name="Normal 5 6 6 2 2" xfId="8638" xr:uid="{00000000-0005-0000-0000-0000BF1B0000}"/>
    <cellStyle name="Normal 5 6 6 2 2 2" xfId="17077" xr:uid="{3E8C0EBD-2F48-403F-8F52-0ACC013BBB07}"/>
    <cellStyle name="Normal 5 6 6 2 3" xfId="12859" xr:uid="{194ED658-C29C-43B1-879D-834F810CC854}"/>
    <cellStyle name="Normal 5 6 6 3" xfId="6493" xr:uid="{00000000-0005-0000-0000-0000C01B0000}"/>
    <cellStyle name="Normal 5 6 6 3 2" xfId="14932" xr:uid="{CB3824E6-FAAB-4862-B8CF-A31D5EA15B64}"/>
    <cellStyle name="Normal 5 6 6 4" xfId="10714" xr:uid="{1E04E6AA-B73C-472F-9E4A-CDB8B99AB5B3}"/>
    <cellStyle name="Normal 5 6 7" xfId="2622" xr:uid="{00000000-0005-0000-0000-0000C11B0000}"/>
    <cellStyle name="Normal 5 6 7 2" xfId="6906" xr:uid="{00000000-0005-0000-0000-0000C21B0000}"/>
    <cellStyle name="Normal 5 6 7 2 2" xfId="15345" xr:uid="{90831A36-FCF4-4D3B-B5F2-B251363841B3}"/>
    <cellStyle name="Normal 5 6 7 3" xfId="11127" xr:uid="{3264F563-79FF-4B89-B19D-EEF10949C1AB}"/>
    <cellStyle name="Normal 5 6 8" xfId="4841" xr:uid="{00000000-0005-0000-0000-0000C31B0000}"/>
    <cellStyle name="Normal 5 6 8 2" xfId="13280" xr:uid="{FBB86AC2-30F0-4E2A-A7C6-C66BB0288F57}"/>
    <cellStyle name="Normal 5 6 9" xfId="9062" xr:uid="{4CCD93BE-28E8-44A6-B7F7-08F47DE5F6AC}"/>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49CBCED8-6F77-440B-946C-7A5AF74B4621}"/>
    <cellStyle name="Normal 5 7 2 2 3" xfId="11622" xr:uid="{51193FAE-2666-4543-997D-ECED23949F6E}"/>
    <cellStyle name="Normal 5 7 2 3" xfId="5256" xr:uid="{00000000-0005-0000-0000-0000C81B0000}"/>
    <cellStyle name="Normal 5 7 2 3 2" xfId="13695" xr:uid="{29206667-9A0D-4A4A-84C4-B5B0DB3DA715}"/>
    <cellStyle name="Normal 5 7 2 4" xfId="9477" xr:uid="{7395D60F-1ADF-4826-A8B2-EE3B393EF13D}"/>
    <cellStyle name="Normal 5 7 3" xfId="1361" xr:uid="{00000000-0005-0000-0000-0000C91B0000}"/>
    <cellStyle name="Normal 5 7 3 2" xfId="3591" xr:uid="{00000000-0005-0000-0000-0000CA1B0000}"/>
    <cellStyle name="Normal 5 7 3 2 2" xfId="7814" xr:uid="{00000000-0005-0000-0000-0000CB1B0000}"/>
    <cellStyle name="Normal 5 7 3 2 2 2" xfId="16253" xr:uid="{333A841B-A8F6-4A0E-B5A6-4B0D3B735487}"/>
    <cellStyle name="Normal 5 7 3 2 3" xfId="12035" xr:uid="{64A98E32-BBE0-4821-98F3-D8B5214F0E67}"/>
    <cellStyle name="Normal 5 7 3 3" xfId="5669" xr:uid="{00000000-0005-0000-0000-0000CC1B0000}"/>
    <cellStyle name="Normal 5 7 3 3 2" xfId="14108" xr:uid="{7E102E70-A451-442C-85EE-B67CA327CB2C}"/>
    <cellStyle name="Normal 5 7 3 4" xfId="9890" xr:uid="{05377616-3E90-4842-9D48-2C97F1EC35D6}"/>
    <cellStyle name="Normal 5 7 4" xfId="1774" xr:uid="{00000000-0005-0000-0000-0000CD1B0000}"/>
    <cellStyle name="Normal 5 7 4 2" xfId="4004" xr:uid="{00000000-0005-0000-0000-0000CE1B0000}"/>
    <cellStyle name="Normal 5 7 4 2 2" xfId="8227" xr:uid="{00000000-0005-0000-0000-0000CF1B0000}"/>
    <cellStyle name="Normal 5 7 4 2 2 2" xfId="16666" xr:uid="{D6ED398B-3935-490B-AB64-FC4BEBB95760}"/>
    <cellStyle name="Normal 5 7 4 2 3" xfId="12448" xr:uid="{CA524041-C8CB-48FF-862E-57150033D2C0}"/>
    <cellStyle name="Normal 5 7 4 3" xfId="6082" xr:uid="{00000000-0005-0000-0000-0000D01B0000}"/>
    <cellStyle name="Normal 5 7 4 3 2" xfId="14521" xr:uid="{1DF9F7D7-5B0E-4A21-BF99-93E82040F184}"/>
    <cellStyle name="Normal 5 7 4 4" xfId="10303" xr:uid="{CC1D8823-EC94-4BC5-AA9B-581B12CD7913}"/>
    <cellStyle name="Normal 5 7 5" xfId="2188" xr:uid="{00000000-0005-0000-0000-0000D11B0000}"/>
    <cellStyle name="Normal 5 7 5 2" xfId="4417" xr:uid="{00000000-0005-0000-0000-0000D21B0000}"/>
    <cellStyle name="Normal 5 7 5 2 2" xfId="8640" xr:uid="{00000000-0005-0000-0000-0000D31B0000}"/>
    <cellStyle name="Normal 5 7 5 2 2 2" xfId="17079" xr:uid="{4C8BEBEF-ADD5-4A5E-810C-7EDC60181EF6}"/>
    <cellStyle name="Normal 5 7 5 2 3" xfId="12861" xr:uid="{CB19D638-3DA8-4552-B63D-A340B061CB30}"/>
    <cellStyle name="Normal 5 7 5 3" xfId="6495" xr:uid="{00000000-0005-0000-0000-0000D41B0000}"/>
    <cellStyle name="Normal 5 7 5 3 2" xfId="14934" xr:uid="{40029726-1928-4008-8308-27C92451008D}"/>
    <cellStyle name="Normal 5 7 5 4" xfId="10716" xr:uid="{ABD20611-FF9A-4494-8E42-4650E5BF5D02}"/>
    <cellStyle name="Normal 5 7 6" xfId="2624" xr:uid="{00000000-0005-0000-0000-0000D51B0000}"/>
    <cellStyle name="Normal 5 7 6 2" xfId="6908" xr:uid="{00000000-0005-0000-0000-0000D61B0000}"/>
    <cellStyle name="Normal 5 7 6 2 2" xfId="15347" xr:uid="{A5EBAF91-4038-4285-A03F-56FEC51B1D53}"/>
    <cellStyle name="Normal 5 7 6 3" xfId="11129" xr:uid="{2BA86E9F-15A5-4401-AE8D-2D5016EF8B9D}"/>
    <cellStyle name="Normal 5 7 7" xfId="4843" xr:uid="{00000000-0005-0000-0000-0000D71B0000}"/>
    <cellStyle name="Normal 5 7 7 2" xfId="13282" xr:uid="{2D47A90B-F71E-478D-BEED-2F472E9FCCD1}"/>
    <cellStyle name="Normal 5 7 8" xfId="9064" xr:uid="{DCDA1322-59AC-4DAD-8352-1E32C33BE56A}"/>
    <cellStyle name="Normal 5 8" xfId="880" xr:uid="{00000000-0005-0000-0000-0000D81B0000}"/>
    <cellStyle name="Normal 5 8 2" xfId="3115" xr:uid="{00000000-0005-0000-0000-0000D91B0000}"/>
    <cellStyle name="Normal 5 8 2 2" xfId="7338" xr:uid="{00000000-0005-0000-0000-0000DA1B0000}"/>
    <cellStyle name="Normal 5 8 2 2 2" xfId="15777" xr:uid="{367EB0B7-4408-4120-9437-9FE4843C745B}"/>
    <cellStyle name="Normal 5 8 2 3" xfId="11559" xr:uid="{A934EE50-8A18-4DFF-A54B-E6B41D95835E}"/>
    <cellStyle name="Normal 5 8 3" xfId="5193" xr:uid="{00000000-0005-0000-0000-0000DB1B0000}"/>
    <cellStyle name="Normal 5 8 3 2" xfId="13632" xr:uid="{1B4A1792-EBF6-4692-AB9A-A32F52D92803}"/>
    <cellStyle name="Normal 5 8 4" xfId="9414" xr:uid="{814D82B6-0B79-4453-BF12-1F925117B629}"/>
    <cellStyle name="Normal 5 9" xfId="1298" xr:uid="{00000000-0005-0000-0000-0000DC1B0000}"/>
    <cellStyle name="Normal 5 9 2" xfId="3528" xr:uid="{00000000-0005-0000-0000-0000DD1B0000}"/>
    <cellStyle name="Normal 5 9 2 2" xfId="7751" xr:uid="{00000000-0005-0000-0000-0000DE1B0000}"/>
    <cellStyle name="Normal 5 9 2 2 2" xfId="16190" xr:uid="{E7D6FE2A-E5F1-4AD0-983C-7E20C29ECD9B}"/>
    <cellStyle name="Normal 5 9 2 3" xfId="11972" xr:uid="{80AD725B-DEEE-4E37-9063-F8E79E6D2E28}"/>
    <cellStyle name="Normal 5 9 3" xfId="5606" xr:uid="{00000000-0005-0000-0000-0000DF1B0000}"/>
    <cellStyle name="Normal 5 9 3 2" xfId="14045" xr:uid="{C59540CD-6A15-4069-9895-0034C0BC9FE8}"/>
    <cellStyle name="Normal 5 9 4" xfId="9827" xr:uid="{43CD97FF-BE95-46AA-82EB-FCE97BCE634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40953229-3FF6-474F-BB21-EB31CC363EEC}"/>
    <cellStyle name="Normal 8 10 2 3" xfId="12862" xr:uid="{C0722EB0-2F23-4686-94EC-F79EECC816E8}"/>
    <cellStyle name="Normal 8 10 3" xfId="6496" xr:uid="{00000000-0005-0000-0000-0000EB1B0000}"/>
    <cellStyle name="Normal 8 10 3 2" xfId="14935" xr:uid="{8489C1A4-F11D-446F-8CB8-246A38F45461}"/>
    <cellStyle name="Normal 8 10 4" xfId="10717" xr:uid="{1D1276FE-5E96-4646-B1DD-DA42A969F32A}"/>
    <cellStyle name="Normal 8 11" xfId="2625" xr:uid="{00000000-0005-0000-0000-0000EC1B0000}"/>
    <cellStyle name="Normal 8 11 2" xfId="6909" xr:uid="{00000000-0005-0000-0000-0000ED1B0000}"/>
    <cellStyle name="Normal 8 11 2 2" xfId="15348" xr:uid="{AE542C9E-863A-41E3-977A-FC2F8419CB14}"/>
    <cellStyle name="Normal 8 11 3" xfId="11130" xr:uid="{F090A48D-0FB7-4AA5-A097-168939FD68A6}"/>
    <cellStyle name="Normal 8 12" xfId="4844" xr:uid="{00000000-0005-0000-0000-0000EE1B0000}"/>
    <cellStyle name="Normal 8 12 2" xfId="13283" xr:uid="{02F46798-94B7-4B78-83A1-FE91DC387A40}"/>
    <cellStyle name="Normal 8 13" xfId="9065" xr:uid="{8D7B375F-CE25-4A81-AD24-6AB1713D7A46}"/>
    <cellStyle name="Normal 8 2" xfId="479" xr:uid="{00000000-0005-0000-0000-0000EF1B0000}"/>
    <cellStyle name="Normal 8 2 10" xfId="2626" xr:uid="{00000000-0005-0000-0000-0000F01B0000}"/>
    <cellStyle name="Normal 8 2 10 2" xfId="6910" xr:uid="{00000000-0005-0000-0000-0000F11B0000}"/>
    <cellStyle name="Normal 8 2 10 2 2" xfId="15349" xr:uid="{3869FCE2-1D9B-44F2-98C2-0DD065C1842A}"/>
    <cellStyle name="Normal 8 2 10 3" xfId="11131" xr:uid="{D6F75641-EFEF-4C70-B6A2-103C01DF2B3F}"/>
    <cellStyle name="Normal 8 2 11" xfId="4845" xr:uid="{00000000-0005-0000-0000-0000F21B0000}"/>
    <cellStyle name="Normal 8 2 11 2" xfId="13284" xr:uid="{BA2F9CD0-7A0F-458A-A828-94528FAA609B}"/>
    <cellStyle name="Normal 8 2 12" xfId="9066" xr:uid="{4E5EFDDA-BDF1-4DEE-9146-CEDD8DB38712}"/>
    <cellStyle name="Normal 8 2 2" xfId="480" xr:uid="{00000000-0005-0000-0000-0000F31B0000}"/>
    <cellStyle name="Normal 8 2 2 10" xfId="4846" xr:uid="{00000000-0005-0000-0000-0000F41B0000}"/>
    <cellStyle name="Normal 8 2 2 10 2" xfId="13285" xr:uid="{0E698871-2210-4E38-9B91-02E18CBEC795}"/>
    <cellStyle name="Normal 8 2 2 11" xfId="9067" xr:uid="{042A03AB-C3C4-4986-9D39-71E30BD4F844}"/>
    <cellStyle name="Normal 8 2 2 2" xfId="481" xr:uid="{00000000-0005-0000-0000-0000F51B0000}"/>
    <cellStyle name="Normal 8 2 2 2 10" xfId="9068" xr:uid="{912768CE-773B-41B0-8185-8DAF2BE9E12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9A48783B-662E-4740-AD97-2FDD1B080329}"/>
    <cellStyle name="Normal 8 2 2 2 2 2 2 2 3" xfId="11628" xr:uid="{1D59197A-01DA-4481-9290-E4614C1FCD5F}"/>
    <cellStyle name="Normal 8 2 2 2 2 2 2 3" xfId="5262" xr:uid="{00000000-0005-0000-0000-0000FB1B0000}"/>
    <cellStyle name="Normal 8 2 2 2 2 2 2 3 2" xfId="13701" xr:uid="{F720836E-0609-4955-ABAD-F03AEF061C6C}"/>
    <cellStyle name="Normal 8 2 2 2 2 2 2 4" xfId="9483" xr:uid="{C907A205-F527-46CE-835E-5204AFE53C75}"/>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392D78DD-B67A-44A8-949C-9F2686750D39}"/>
    <cellStyle name="Normal 8 2 2 2 2 2 3 2 3" xfId="12041" xr:uid="{DAAD4E0D-4CE8-4C0A-9DAE-04C862D36C95}"/>
    <cellStyle name="Normal 8 2 2 2 2 2 3 3" xfId="5675" xr:uid="{00000000-0005-0000-0000-0000FF1B0000}"/>
    <cellStyle name="Normal 8 2 2 2 2 2 3 3 2" xfId="14114" xr:uid="{779AA794-AB93-47A0-BB77-17EB3BCDB66C}"/>
    <cellStyle name="Normal 8 2 2 2 2 2 3 4" xfId="9896" xr:uid="{F741F820-1DC2-4687-816A-F08FBFEFC50D}"/>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E29AFC45-13D5-4C3D-B77E-AECE25B92BF2}"/>
    <cellStyle name="Normal 8 2 2 2 2 2 4 2 3" xfId="12454" xr:uid="{43287709-1155-44FA-A48F-ACB1E411C760}"/>
    <cellStyle name="Normal 8 2 2 2 2 2 4 3" xfId="6088" xr:uid="{00000000-0005-0000-0000-0000031C0000}"/>
    <cellStyle name="Normal 8 2 2 2 2 2 4 3 2" xfId="14527" xr:uid="{3272BB6E-FFFB-4531-9F55-6BE54D556FEF}"/>
    <cellStyle name="Normal 8 2 2 2 2 2 4 4" xfId="10309" xr:uid="{89E6BD7A-C240-439C-837E-FBDD6DE4655F}"/>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D4089200-9B67-46BD-B032-5965D1275629}"/>
    <cellStyle name="Normal 8 2 2 2 2 2 5 2 3" xfId="12867" xr:uid="{DF2133AF-EA55-4220-9C5A-16851AB7732E}"/>
    <cellStyle name="Normal 8 2 2 2 2 2 5 3" xfId="6501" xr:uid="{00000000-0005-0000-0000-0000071C0000}"/>
    <cellStyle name="Normal 8 2 2 2 2 2 5 3 2" xfId="14940" xr:uid="{F7A24680-70C9-47F1-993C-3000E7D2EAC5}"/>
    <cellStyle name="Normal 8 2 2 2 2 2 5 4" xfId="10722" xr:uid="{C1E682E1-EFA6-4C1B-8510-35A1791AC11E}"/>
    <cellStyle name="Normal 8 2 2 2 2 2 6" xfId="2630" xr:uid="{00000000-0005-0000-0000-0000081C0000}"/>
    <cellStyle name="Normal 8 2 2 2 2 2 6 2" xfId="6914" xr:uid="{00000000-0005-0000-0000-0000091C0000}"/>
    <cellStyle name="Normal 8 2 2 2 2 2 6 2 2" xfId="15353" xr:uid="{95973E07-5023-46D9-8478-5F97DA0570B2}"/>
    <cellStyle name="Normal 8 2 2 2 2 2 6 3" xfId="11135" xr:uid="{E3805F4F-5DB4-4462-BCE7-9552E5BE4F9C}"/>
    <cellStyle name="Normal 8 2 2 2 2 2 7" xfId="4849" xr:uid="{00000000-0005-0000-0000-00000A1C0000}"/>
    <cellStyle name="Normal 8 2 2 2 2 2 7 2" xfId="13288" xr:uid="{3DF7148F-8FB6-4D55-A1C2-CA0A4FCB283F}"/>
    <cellStyle name="Normal 8 2 2 2 2 2 8" xfId="9070" xr:uid="{8D849109-9C90-4C23-9EA6-76EF3796B3BD}"/>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FE703EBA-1F62-4F55-9B74-1104DD49325F}"/>
    <cellStyle name="Normal 8 2 2 2 2 3 2 3" xfId="11627" xr:uid="{9ACA1603-815B-4162-A059-5857F5044E6B}"/>
    <cellStyle name="Normal 8 2 2 2 2 3 3" xfId="5261" xr:uid="{00000000-0005-0000-0000-00000E1C0000}"/>
    <cellStyle name="Normal 8 2 2 2 2 3 3 2" xfId="13700" xr:uid="{78BE69E7-D5AF-4C50-81C3-E25BF18FA0E1}"/>
    <cellStyle name="Normal 8 2 2 2 2 3 4" xfId="9482" xr:uid="{80A45A2B-8AC0-49BE-A4CD-C3186647D442}"/>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2D777E4F-B3DB-4116-BF22-BD63BA5C12CF}"/>
    <cellStyle name="Normal 8 2 2 2 2 4 2 3" xfId="12040" xr:uid="{2EFDFE34-22A1-4A1A-88F1-F99E43A63EDA}"/>
    <cellStyle name="Normal 8 2 2 2 2 4 3" xfId="5674" xr:uid="{00000000-0005-0000-0000-0000121C0000}"/>
    <cellStyle name="Normal 8 2 2 2 2 4 3 2" xfId="14113" xr:uid="{F221D015-6324-46F9-A761-5961AF5DBB7C}"/>
    <cellStyle name="Normal 8 2 2 2 2 4 4" xfId="9895" xr:uid="{42A7CC95-0F76-46E9-AF6A-E71CEBAAF2B6}"/>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A6A3BA11-65A5-4110-A563-A11C4ABD0F46}"/>
    <cellStyle name="Normal 8 2 2 2 2 5 2 3" xfId="12453" xr:uid="{42C0C0F2-2E57-4DCE-B9E7-95CDB66D99A4}"/>
    <cellStyle name="Normal 8 2 2 2 2 5 3" xfId="6087" xr:uid="{00000000-0005-0000-0000-0000161C0000}"/>
    <cellStyle name="Normal 8 2 2 2 2 5 3 2" xfId="14526" xr:uid="{16193468-D8A6-45EE-9B46-4A0DD672D1B2}"/>
    <cellStyle name="Normal 8 2 2 2 2 5 4" xfId="10308" xr:uid="{34A5910F-3C0B-4BA2-8E2A-08EA006733DD}"/>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74BACF2F-21DC-4731-865F-A61C46A34EDC}"/>
    <cellStyle name="Normal 8 2 2 2 2 6 2 3" xfId="12866" xr:uid="{C24D78E3-64FE-4C7B-97C1-3B47F2071B3A}"/>
    <cellStyle name="Normal 8 2 2 2 2 6 3" xfId="6500" xr:uid="{00000000-0005-0000-0000-00001A1C0000}"/>
    <cellStyle name="Normal 8 2 2 2 2 6 3 2" xfId="14939" xr:uid="{008C4FFE-55CA-40DF-A530-D11748D436A7}"/>
    <cellStyle name="Normal 8 2 2 2 2 6 4" xfId="10721" xr:uid="{CD9ACE6E-34F7-40FE-9832-394718A965BA}"/>
    <cellStyle name="Normal 8 2 2 2 2 7" xfId="2629" xr:uid="{00000000-0005-0000-0000-00001B1C0000}"/>
    <cellStyle name="Normal 8 2 2 2 2 7 2" xfId="6913" xr:uid="{00000000-0005-0000-0000-00001C1C0000}"/>
    <cellStyle name="Normal 8 2 2 2 2 7 2 2" xfId="15352" xr:uid="{DBD557B0-EEE3-42E4-907C-3889E836C6BE}"/>
    <cellStyle name="Normal 8 2 2 2 2 7 3" xfId="11134" xr:uid="{23C7905D-4E4A-45D5-B9B8-CF95CCB8931F}"/>
    <cellStyle name="Normal 8 2 2 2 2 8" xfId="4848" xr:uid="{00000000-0005-0000-0000-00001D1C0000}"/>
    <cellStyle name="Normal 8 2 2 2 2 8 2" xfId="13287" xr:uid="{103A171C-E8E1-414F-B275-A03B1A7F8BD8}"/>
    <cellStyle name="Normal 8 2 2 2 2 9" xfId="9069" xr:uid="{3E60743F-3637-49B2-BD5A-C340DF69AA64}"/>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C595E06E-E351-4ACB-81E8-07D5A7F29DAA}"/>
    <cellStyle name="Normal 8 2 2 2 3 2 2 3" xfId="11629" xr:uid="{0CF92E13-129A-43D0-939A-DE90A8A4B2FD}"/>
    <cellStyle name="Normal 8 2 2 2 3 2 3" xfId="5263" xr:uid="{00000000-0005-0000-0000-0000221C0000}"/>
    <cellStyle name="Normal 8 2 2 2 3 2 3 2" xfId="13702" xr:uid="{66127B88-5CAD-458D-B5C4-18E65AD547C0}"/>
    <cellStyle name="Normal 8 2 2 2 3 2 4" xfId="9484" xr:uid="{1698FEE0-56EA-4B40-88E9-C46D53B9B315}"/>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59248D1B-A6F7-41D3-8195-6F83C2110D7B}"/>
    <cellStyle name="Normal 8 2 2 2 3 3 2 3" xfId="12042" xr:uid="{71C59A0F-84C6-4ECD-B762-BEF26BE737F6}"/>
    <cellStyle name="Normal 8 2 2 2 3 3 3" xfId="5676" xr:uid="{00000000-0005-0000-0000-0000261C0000}"/>
    <cellStyle name="Normal 8 2 2 2 3 3 3 2" xfId="14115" xr:uid="{F427C0D5-B041-4CD0-9DF1-11C3C165ECE1}"/>
    <cellStyle name="Normal 8 2 2 2 3 3 4" xfId="9897" xr:uid="{8BCBDE6D-12CB-44A4-A01C-164ED8E51619}"/>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45E3CC96-ACB3-499D-B9E1-81CBE992839D}"/>
    <cellStyle name="Normal 8 2 2 2 3 4 2 3" xfId="12455" xr:uid="{1FFB4310-DF46-4963-A82C-52DE2375B0BB}"/>
    <cellStyle name="Normal 8 2 2 2 3 4 3" xfId="6089" xr:uid="{00000000-0005-0000-0000-00002A1C0000}"/>
    <cellStyle name="Normal 8 2 2 2 3 4 3 2" xfId="14528" xr:uid="{2EB64009-5F5A-4058-988C-4BEADA4A759D}"/>
    <cellStyle name="Normal 8 2 2 2 3 4 4" xfId="10310" xr:uid="{26523080-DDCA-4791-969E-A2A67D0FC227}"/>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9AC06E93-0942-4228-BAB2-8270D350179D}"/>
    <cellStyle name="Normal 8 2 2 2 3 5 2 3" xfId="12868" xr:uid="{1DF938BF-BE49-4EEB-8B8B-921EEBB006C2}"/>
    <cellStyle name="Normal 8 2 2 2 3 5 3" xfId="6502" xr:uid="{00000000-0005-0000-0000-00002E1C0000}"/>
    <cellStyle name="Normal 8 2 2 2 3 5 3 2" xfId="14941" xr:uid="{2039603D-5367-4600-8DE7-09A3E0A607B9}"/>
    <cellStyle name="Normal 8 2 2 2 3 5 4" xfId="10723" xr:uid="{65BF0761-AE17-4205-AA08-16217410CDCE}"/>
    <cellStyle name="Normal 8 2 2 2 3 6" xfId="2631" xr:uid="{00000000-0005-0000-0000-00002F1C0000}"/>
    <cellStyle name="Normal 8 2 2 2 3 6 2" xfId="6915" xr:uid="{00000000-0005-0000-0000-0000301C0000}"/>
    <cellStyle name="Normal 8 2 2 2 3 6 2 2" xfId="15354" xr:uid="{95903B7C-6943-45AE-A10B-2A16B1054BB2}"/>
    <cellStyle name="Normal 8 2 2 2 3 6 3" xfId="11136" xr:uid="{9563B5F3-F6DE-4FBB-8178-55E73080158C}"/>
    <cellStyle name="Normal 8 2 2 2 3 7" xfId="4850" xr:uid="{00000000-0005-0000-0000-0000311C0000}"/>
    <cellStyle name="Normal 8 2 2 2 3 7 2" xfId="13289" xr:uid="{CB6F9D7F-C96E-49A2-B897-8353CAC3C217}"/>
    <cellStyle name="Normal 8 2 2 2 3 8" xfId="9071" xr:uid="{E04C312C-934B-419E-B599-CBDE1ABD8B8C}"/>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8BB46830-BA2F-430D-B659-1A413F314666}"/>
    <cellStyle name="Normal 8 2 2 2 4 2 3" xfId="11626" xr:uid="{6DFB06EE-30FC-4260-8DAD-11C4D8B7AEA1}"/>
    <cellStyle name="Normal 8 2 2 2 4 3" xfId="5260" xr:uid="{00000000-0005-0000-0000-0000351C0000}"/>
    <cellStyle name="Normal 8 2 2 2 4 3 2" xfId="13699" xr:uid="{3E719A65-BF32-4CB9-8774-1C80F3BE2B13}"/>
    <cellStyle name="Normal 8 2 2 2 4 4" xfId="9481" xr:uid="{2FD65660-3888-4F2C-82BE-559CA1BAB0C0}"/>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3E8CBAB2-2D06-4C7F-8892-F93E7AEE62A1}"/>
    <cellStyle name="Normal 8 2 2 2 5 2 3" xfId="12039" xr:uid="{808243E9-D941-47A6-8D82-A26ADD9D61B5}"/>
    <cellStyle name="Normal 8 2 2 2 5 3" xfId="5673" xr:uid="{00000000-0005-0000-0000-0000391C0000}"/>
    <cellStyle name="Normal 8 2 2 2 5 3 2" xfId="14112" xr:uid="{A827A020-9D73-47C6-A61D-73B55B001EEA}"/>
    <cellStyle name="Normal 8 2 2 2 5 4" xfId="9894" xr:uid="{4EF0B054-6571-423C-885B-C375DEA4BDAB}"/>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F4AF9FF7-97BC-442B-8514-EEBD00234476}"/>
    <cellStyle name="Normal 8 2 2 2 6 2 3" xfId="12452" xr:uid="{6BF709E1-164C-4305-A313-47D977D00DD8}"/>
    <cellStyle name="Normal 8 2 2 2 6 3" xfId="6086" xr:uid="{00000000-0005-0000-0000-00003D1C0000}"/>
    <cellStyle name="Normal 8 2 2 2 6 3 2" xfId="14525" xr:uid="{65709655-A261-4CF3-BB07-5CE033E78938}"/>
    <cellStyle name="Normal 8 2 2 2 6 4" xfId="10307" xr:uid="{ABAE36CD-374A-4DF0-B785-B2A2748BDE6D}"/>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43E0858A-89FD-4B5F-93F1-4C0D3D05B171}"/>
    <cellStyle name="Normal 8 2 2 2 7 2 3" xfId="12865" xr:uid="{04FEC811-D6CB-466A-951E-8E3836281776}"/>
    <cellStyle name="Normal 8 2 2 2 7 3" xfId="6499" xr:uid="{00000000-0005-0000-0000-0000411C0000}"/>
    <cellStyle name="Normal 8 2 2 2 7 3 2" xfId="14938" xr:uid="{42018A33-0479-4CA9-88A0-FA20BF490FA2}"/>
    <cellStyle name="Normal 8 2 2 2 7 4" xfId="10720" xr:uid="{C6C74C6E-49CC-4F34-B397-381AC5DF9F4F}"/>
    <cellStyle name="Normal 8 2 2 2 8" xfId="2628" xr:uid="{00000000-0005-0000-0000-0000421C0000}"/>
    <cellStyle name="Normal 8 2 2 2 8 2" xfId="6912" xr:uid="{00000000-0005-0000-0000-0000431C0000}"/>
    <cellStyle name="Normal 8 2 2 2 8 2 2" xfId="15351" xr:uid="{D9EBEC8C-2E86-4A22-B938-E4FE422E0914}"/>
    <cellStyle name="Normal 8 2 2 2 8 3" xfId="11133" xr:uid="{E95FA4CE-884C-42FE-ACCF-BD52F8AE0FAE}"/>
    <cellStyle name="Normal 8 2 2 2 9" xfId="4847" xr:uid="{00000000-0005-0000-0000-0000441C0000}"/>
    <cellStyle name="Normal 8 2 2 2 9 2" xfId="13286" xr:uid="{32649EF0-53F5-4BA2-8A83-7A7C55300383}"/>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BBC73D63-44E0-4D5A-9A5C-D60334E67C7A}"/>
    <cellStyle name="Normal 8 2 2 3 2 2 2 3" xfId="11631" xr:uid="{06183B67-2C84-4210-BF1D-65C777A82ABA}"/>
    <cellStyle name="Normal 8 2 2 3 2 2 3" xfId="5265" xr:uid="{00000000-0005-0000-0000-00004A1C0000}"/>
    <cellStyle name="Normal 8 2 2 3 2 2 3 2" xfId="13704" xr:uid="{7C4199DB-78B7-4034-9696-32591651C08C}"/>
    <cellStyle name="Normal 8 2 2 3 2 2 4" xfId="9486" xr:uid="{9ECBE0B2-FDA3-4E0D-A782-91BD32AB57BA}"/>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260B88D0-D8EA-4A64-B881-A84290028EE3}"/>
    <cellStyle name="Normal 8 2 2 3 2 3 2 3" xfId="12044" xr:uid="{4E436C91-6BA8-42A3-9C7D-8F0E293F8049}"/>
    <cellStyle name="Normal 8 2 2 3 2 3 3" xfId="5678" xr:uid="{00000000-0005-0000-0000-00004E1C0000}"/>
    <cellStyle name="Normal 8 2 2 3 2 3 3 2" xfId="14117" xr:uid="{E22D0F8B-CEFD-440D-BF2F-6CE1577E895C}"/>
    <cellStyle name="Normal 8 2 2 3 2 3 4" xfId="9899" xr:uid="{7911C6DA-56FA-47B1-B78A-8750AEDAC1D8}"/>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E85D39E7-EB74-4A05-8F0F-851B0FA70D8D}"/>
    <cellStyle name="Normal 8 2 2 3 2 4 2 3" xfId="12457" xr:uid="{25954D66-C55D-4AB8-AB29-E46DFFA6AB98}"/>
    <cellStyle name="Normal 8 2 2 3 2 4 3" xfId="6091" xr:uid="{00000000-0005-0000-0000-0000521C0000}"/>
    <cellStyle name="Normal 8 2 2 3 2 4 3 2" xfId="14530" xr:uid="{553A99A3-2DC1-4C1E-AE5F-BCBA244B16A5}"/>
    <cellStyle name="Normal 8 2 2 3 2 4 4" xfId="10312" xr:uid="{FFF09336-7D20-4362-B1EF-D5DC3054ACAB}"/>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5FCAE3ED-2457-48CB-9ABE-A013ACF8605E}"/>
    <cellStyle name="Normal 8 2 2 3 2 5 2 3" xfId="12870" xr:uid="{ACDC94B1-ECA9-487D-ABD3-31DE4FC3D447}"/>
    <cellStyle name="Normal 8 2 2 3 2 5 3" xfId="6504" xr:uid="{00000000-0005-0000-0000-0000561C0000}"/>
    <cellStyle name="Normal 8 2 2 3 2 5 3 2" xfId="14943" xr:uid="{17A72FF1-0E27-4121-9000-E9BCEF0862D5}"/>
    <cellStyle name="Normal 8 2 2 3 2 5 4" xfId="10725" xr:uid="{EDC0C3CD-955D-4B5F-862A-2CC2602D30CE}"/>
    <cellStyle name="Normal 8 2 2 3 2 6" xfId="2633" xr:uid="{00000000-0005-0000-0000-0000571C0000}"/>
    <cellStyle name="Normal 8 2 2 3 2 6 2" xfId="6917" xr:uid="{00000000-0005-0000-0000-0000581C0000}"/>
    <cellStyle name="Normal 8 2 2 3 2 6 2 2" xfId="15356" xr:uid="{54B5408F-1A2A-457F-B67D-92ACB83B36EE}"/>
    <cellStyle name="Normal 8 2 2 3 2 6 3" xfId="11138" xr:uid="{B56ABEBB-DBD6-4D64-97FA-5D51C48D30C4}"/>
    <cellStyle name="Normal 8 2 2 3 2 7" xfId="4852" xr:uid="{00000000-0005-0000-0000-0000591C0000}"/>
    <cellStyle name="Normal 8 2 2 3 2 7 2" xfId="13291" xr:uid="{90F2DD58-7481-4DE0-AF35-064CF1EA2F83}"/>
    <cellStyle name="Normal 8 2 2 3 2 8" xfId="9073" xr:uid="{16EDF1D3-85FC-4564-AE5C-C4003B532F9A}"/>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FC199FE5-0DB9-47E5-99A1-AA514D960C46}"/>
    <cellStyle name="Normal 8 2 2 3 3 2 3" xfId="11630" xr:uid="{1C2A9A58-1D8C-4978-B69B-2594421C666A}"/>
    <cellStyle name="Normal 8 2 2 3 3 3" xfId="5264" xr:uid="{00000000-0005-0000-0000-00005D1C0000}"/>
    <cellStyle name="Normal 8 2 2 3 3 3 2" xfId="13703" xr:uid="{018313E2-FEED-4C06-A5C9-390FB65417DD}"/>
    <cellStyle name="Normal 8 2 2 3 3 4" xfId="9485" xr:uid="{AEF973FB-7945-4646-A0BD-81BFEAE121C0}"/>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A1A47622-5FD9-4B94-91DA-92B6B2E8D3B1}"/>
    <cellStyle name="Normal 8 2 2 3 4 2 3" xfId="12043" xr:uid="{CE7E04B0-5263-487B-87CC-D1DCE1FDC314}"/>
    <cellStyle name="Normal 8 2 2 3 4 3" xfId="5677" xr:uid="{00000000-0005-0000-0000-0000611C0000}"/>
    <cellStyle name="Normal 8 2 2 3 4 3 2" xfId="14116" xr:uid="{3F61D8C7-EED0-4E6B-8495-A2EE6A424903}"/>
    <cellStyle name="Normal 8 2 2 3 4 4" xfId="9898" xr:uid="{C5B55211-4321-43EC-A3D7-5613E614FDD0}"/>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F3D68F72-4230-4F43-843A-48DB186EB5CC}"/>
    <cellStyle name="Normal 8 2 2 3 5 2 3" xfId="12456" xr:uid="{AAF70BBB-8D33-4770-BDE8-96FBB6DB8183}"/>
    <cellStyle name="Normal 8 2 2 3 5 3" xfId="6090" xr:uid="{00000000-0005-0000-0000-0000651C0000}"/>
    <cellStyle name="Normal 8 2 2 3 5 3 2" xfId="14529" xr:uid="{5A9B91F6-5870-42C4-9479-2AEA9E420314}"/>
    <cellStyle name="Normal 8 2 2 3 5 4" xfId="10311" xr:uid="{7292793D-AC2B-4EEE-A93E-D7AD37B81279}"/>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1C756EC0-8AE8-426B-A284-D1A4FB38CA7E}"/>
    <cellStyle name="Normal 8 2 2 3 6 2 3" xfId="12869" xr:uid="{8A0FB18E-6024-4F5E-9DB1-CAFEB1AFFD05}"/>
    <cellStyle name="Normal 8 2 2 3 6 3" xfId="6503" xr:uid="{00000000-0005-0000-0000-0000691C0000}"/>
    <cellStyle name="Normal 8 2 2 3 6 3 2" xfId="14942" xr:uid="{7550871A-4D93-42CD-BF32-5C085516FE2B}"/>
    <cellStyle name="Normal 8 2 2 3 6 4" xfId="10724" xr:uid="{AA3022C5-2F06-45EE-BFCD-3B49AC9B0353}"/>
    <cellStyle name="Normal 8 2 2 3 7" xfId="2632" xr:uid="{00000000-0005-0000-0000-00006A1C0000}"/>
    <cellStyle name="Normal 8 2 2 3 7 2" xfId="6916" xr:uid="{00000000-0005-0000-0000-00006B1C0000}"/>
    <cellStyle name="Normal 8 2 2 3 7 2 2" xfId="15355" xr:uid="{250DA807-B8C0-4211-BC41-9E7D061638A3}"/>
    <cellStyle name="Normal 8 2 2 3 7 3" xfId="11137" xr:uid="{0BAF3A6F-FEE5-46E4-A0B0-A47A378D21E2}"/>
    <cellStyle name="Normal 8 2 2 3 8" xfId="4851" xr:uid="{00000000-0005-0000-0000-00006C1C0000}"/>
    <cellStyle name="Normal 8 2 2 3 8 2" xfId="13290" xr:uid="{68CD6B92-5F4F-4BE3-B1D5-1F89881D5D4D}"/>
    <cellStyle name="Normal 8 2 2 3 9" xfId="9072" xr:uid="{B2C0D9F8-85EE-403F-BECA-AEA808F0CD0C}"/>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C0A21A20-32CF-4F4A-9970-5178A9BAB44E}"/>
    <cellStyle name="Normal 8 2 2 4 2 2 3" xfId="11632" xr:uid="{6CC1CB44-06EE-4422-A0A0-6B3B3BAA3377}"/>
    <cellStyle name="Normal 8 2 2 4 2 3" xfId="5266" xr:uid="{00000000-0005-0000-0000-0000711C0000}"/>
    <cellStyle name="Normal 8 2 2 4 2 3 2" xfId="13705" xr:uid="{9E68F1DD-2DB2-4DDA-BD6E-BDBCBA923DB0}"/>
    <cellStyle name="Normal 8 2 2 4 2 4" xfId="9487" xr:uid="{8B422E2E-6A93-4A6D-B3A0-61BC31B8FF40}"/>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A8886CAB-C2FF-4265-BF95-209C2256440E}"/>
    <cellStyle name="Normal 8 2 2 4 3 2 3" xfId="12045" xr:uid="{9DD1EE75-D588-4B51-A903-91AC54705922}"/>
    <cellStyle name="Normal 8 2 2 4 3 3" xfId="5679" xr:uid="{00000000-0005-0000-0000-0000751C0000}"/>
    <cellStyle name="Normal 8 2 2 4 3 3 2" xfId="14118" xr:uid="{FF68675C-FD69-42D2-BF2C-19196B1CE3FC}"/>
    <cellStyle name="Normal 8 2 2 4 3 4" xfId="9900" xr:uid="{D12FC482-59AF-414F-B948-79F13B22E485}"/>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9A89FA95-9CBB-4AA2-B0EA-A3FB0426116C}"/>
    <cellStyle name="Normal 8 2 2 4 4 2 3" xfId="12458" xr:uid="{21C111F2-70DB-46C0-AF74-40736DD52894}"/>
    <cellStyle name="Normal 8 2 2 4 4 3" xfId="6092" xr:uid="{00000000-0005-0000-0000-0000791C0000}"/>
    <cellStyle name="Normal 8 2 2 4 4 3 2" xfId="14531" xr:uid="{67371573-D3BC-4CEE-A6DC-1358C355D4B6}"/>
    <cellStyle name="Normal 8 2 2 4 4 4" xfId="10313" xr:uid="{581C1026-9FF1-41DC-8EFE-857C27EB1ACF}"/>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6C6B9879-C522-4F22-B6BF-E3A52690F78A}"/>
    <cellStyle name="Normal 8 2 2 4 5 2 3" xfId="12871" xr:uid="{EA64F320-21A0-498B-B6C6-F797D5E87D81}"/>
    <cellStyle name="Normal 8 2 2 4 5 3" xfId="6505" xr:uid="{00000000-0005-0000-0000-00007D1C0000}"/>
    <cellStyle name="Normal 8 2 2 4 5 3 2" xfId="14944" xr:uid="{F1EE0B5F-43D5-49D0-8E52-551CB0E32212}"/>
    <cellStyle name="Normal 8 2 2 4 5 4" xfId="10726" xr:uid="{441B5C08-FD3D-4C0C-9081-6DB79731C7D8}"/>
    <cellStyle name="Normal 8 2 2 4 6" xfId="2634" xr:uid="{00000000-0005-0000-0000-00007E1C0000}"/>
    <cellStyle name="Normal 8 2 2 4 6 2" xfId="6918" xr:uid="{00000000-0005-0000-0000-00007F1C0000}"/>
    <cellStyle name="Normal 8 2 2 4 6 2 2" xfId="15357" xr:uid="{67DB732D-FA32-46F3-BBFA-D744BD08B8AD}"/>
    <cellStyle name="Normal 8 2 2 4 6 3" xfId="11139" xr:uid="{18179903-1A87-4D5B-A553-9014346A35AF}"/>
    <cellStyle name="Normal 8 2 2 4 7" xfId="4853" xr:uid="{00000000-0005-0000-0000-0000801C0000}"/>
    <cellStyle name="Normal 8 2 2 4 7 2" xfId="13292" xr:uid="{5D2141DD-F386-4727-9A43-47FE84EF6AD2}"/>
    <cellStyle name="Normal 8 2 2 4 8" xfId="9074" xr:uid="{76AD57A9-334F-4148-A800-2DF96B2932E0}"/>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15A4BCA9-3A2E-42FA-A2AA-86822BD523CF}"/>
    <cellStyle name="Normal 8 2 2 5 2 3" xfId="11625" xr:uid="{C4775F2E-E60A-47A4-B26F-ABEF5F37D83C}"/>
    <cellStyle name="Normal 8 2 2 5 3" xfId="5259" xr:uid="{00000000-0005-0000-0000-0000841C0000}"/>
    <cellStyle name="Normal 8 2 2 5 3 2" xfId="13698" xr:uid="{8186ACCE-3994-4314-83DF-ED9D229D1BCC}"/>
    <cellStyle name="Normal 8 2 2 5 4" xfId="9480" xr:uid="{AF534DB9-8E84-410F-A14B-C96ADBD15578}"/>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2648ECBB-9A21-4C26-88E3-97FC5C22946D}"/>
    <cellStyle name="Normal 8 2 2 6 2 3" xfId="12038" xr:uid="{ADADDDE4-3EE7-45F6-A0ED-2290D8B4D324}"/>
    <cellStyle name="Normal 8 2 2 6 3" xfId="5672" xr:uid="{00000000-0005-0000-0000-0000881C0000}"/>
    <cellStyle name="Normal 8 2 2 6 3 2" xfId="14111" xr:uid="{4D89B190-672C-4E24-846A-674A8199A825}"/>
    <cellStyle name="Normal 8 2 2 6 4" xfId="9893" xr:uid="{265DB264-AC92-47CE-9338-BA8FEC48FC40}"/>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838E19C7-51DE-4CD4-AF1F-64899415F897}"/>
    <cellStyle name="Normal 8 2 2 7 2 3" xfId="12451" xr:uid="{41B865C6-75DA-4834-84BF-F6C627E80B22}"/>
    <cellStyle name="Normal 8 2 2 7 3" xfId="6085" xr:uid="{00000000-0005-0000-0000-00008C1C0000}"/>
    <cellStyle name="Normal 8 2 2 7 3 2" xfId="14524" xr:uid="{42710EA6-A1AC-4017-BB1B-D16D7A42E781}"/>
    <cellStyle name="Normal 8 2 2 7 4" xfId="10306" xr:uid="{699E84DD-B76D-4FEE-933E-1BF9C57809B3}"/>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61250DBA-FAC9-42F2-92F0-DE80567170F5}"/>
    <cellStyle name="Normal 8 2 2 8 2 3" xfId="12864" xr:uid="{D9D8D2FB-5D25-45C9-969A-A4B7C064D473}"/>
    <cellStyle name="Normal 8 2 2 8 3" xfId="6498" xr:uid="{00000000-0005-0000-0000-0000901C0000}"/>
    <cellStyle name="Normal 8 2 2 8 3 2" xfId="14937" xr:uid="{1F259814-4281-4C95-8B1F-21649F2E8C30}"/>
    <cellStyle name="Normal 8 2 2 8 4" xfId="10719" xr:uid="{AA823608-8980-404B-9A31-4B963E1BEBE8}"/>
    <cellStyle name="Normal 8 2 2 9" xfId="2627" xr:uid="{00000000-0005-0000-0000-0000911C0000}"/>
    <cellStyle name="Normal 8 2 2 9 2" xfId="6911" xr:uid="{00000000-0005-0000-0000-0000921C0000}"/>
    <cellStyle name="Normal 8 2 2 9 2 2" xfId="15350" xr:uid="{D04ACE3F-4FEA-49AA-AA8F-4164EDF690AF}"/>
    <cellStyle name="Normal 8 2 2 9 3" xfId="11132" xr:uid="{2E60D75F-BFE1-4654-A25F-A5C56F0B23C9}"/>
    <cellStyle name="Normal 8 2 3" xfId="488" xr:uid="{00000000-0005-0000-0000-0000931C0000}"/>
    <cellStyle name="Normal 8 2 3 10" xfId="9075" xr:uid="{77A6A2F2-EE11-4A8A-9A37-AD10F463A9D8}"/>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A6378F74-861D-43C2-ADDD-7FC1761FF2A0}"/>
    <cellStyle name="Normal 8 2 3 2 2 2 2 3" xfId="11635" xr:uid="{D8EDEF72-F082-4205-9824-218D41DE0F2A}"/>
    <cellStyle name="Normal 8 2 3 2 2 2 3" xfId="5269" xr:uid="{00000000-0005-0000-0000-0000991C0000}"/>
    <cellStyle name="Normal 8 2 3 2 2 2 3 2" xfId="13708" xr:uid="{0E192248-3AC2-4715-806C-D0F3B22A05F5}"/>
    <cellStyle name="Normal 8 2 3 2 2 2 4" xfId="9490" xr:uid="{4C6AE2B8-2E74-4A40-85BB-8DEE7B1905AF}"/>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340EECF6-88BF-438A-B2E6-907B20801356}"/>
    <cellStyle name="Normal 8 2 3 2 2 3 2 3" xfId="12048" xr:uid="{EF56C2E1-51F5-44EC-A7B1-108B050119D8}"/>
    <cellStyle name="Normal 8 2 3 2 2 3 3" xfId="5682" xr:uid="{00000000-0005-0000-0000-00009D1C0000}"/>
    <cellStyle name="Normal 8 2 3 2 2 3 3 2" xfId="14121" xr:uid="{8744808F-2920-4AE0-89CA-F50E37783B74}"/>
    <cellStyle name="Normal 8 2 3 2 2 3 4" xfId="9903" xr:uid="{91733E77-DF7D-4846-B934-D5E79B7E1DD6}"/>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C1D7A10C-6631-47B7-A2FD-3A12B69DB06F}"/>
    <cellStyle name="Normal 8 2 3 2 2 4 2 3" xfId="12461" xr:uid="{E86DE351-126C-4E7B-ACA8-9CF052AD13E5}"/>
    <cellStyle name="Normal 8 2 3 2 2 4 3" xfId="6095" xr:uid="{00000000-0005-0000-0000-0000A11C0000}"/>
    <cellStyle name="Normal 8 2 3 2 2 4 3 2" xfId="14534" xr:uid="{71E2F40B-C0F8-4404-ABA0-A2CA80CD8381}"/>
    <cellStyle name="Normal 8 2 3 2 2 4 4" xfId="10316" xr:uid="{984E2A0C-E7F4-4B9E-BF67-BFB1E9DB2924}"/>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B0B8961B-B09B-44E6-8B25-56C0D7852A9D}"/>
    <cellStyle name="Normal 8 2 3 2 2 5 2 3" xfId="12874" xr:uid="{98A1565F-6985-49C7-9342-6F27AB8AE496}"/>
    <cellStyle name="Normal 8 2 3 2 2 5 3" xfId="6508" xr:uid="{00000000-0005-0000-0000-0000A51C0000}"/>
    <cellStyle name="Normal 8 2 3 2 2 5 3 2" xfId="14947" xr:uid="{49F7E547-220F-4B4A-819E-3987EE74342C}"/>
    <cellStyle name="Normal 8 2 3 2 2 5 4" xfId="10729" xr:uid="{12C63B74-22C0-4078-86E6-42D00380E358}"/>
    <cellStyle name="Normal 8 2 3 2 2 6" xfId="2637" xr:uid="{00000000-0005-0000-0000-0000A61C0000}"/>
    <cellStyle name="Normal 8 2 3 2 2 6 2" xfId="6921" xr:uid="{00000000-0005-0000-0000-0000A71C0000}"/>
    <cellStyle name="Normal 8 2 3 2 2 6 2 2" xfId="15360" xr:uid="{1B3E3876-45CC-4B5D-9F76-FD1D1965A350}"/>
    <cellStyle name="Normal 8 2 3 2 2 6 3" xfId="11142" xr:uid="{EEEA74C2-D57D-4EF3-B686-9DA29D94F194}"/>
    <cellStyle name="Normal 8 2 3 2 2 7" xfId="4856" xr:uid="{00000000-0005-0000-0000-0000A81C0000}"/>
    <cellStyle name="Normal 8 2 3 2 2 7 2" xfId="13295" xr:uid="{BB721B9D-56EC-4D94-8F8D-8C9F05D4879B}"/>
    <cellStyle name="Normal 8 2 3 2 2 8" xfId="9077" xr:uid="{578D00A2-8AAD-416F-B351-A398AA3D03AC}"/>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78A69733-995B-4A88-8E92-6311AF8C0885}"/>
    <cellStyle name="Normal 8 2 3 2 3 2 3" xfId="11634" xr:uid="{E13F44B2-9E47-4E57-8D9F-D578F89344DA}"/>
    <cellStyle name="Normal 8 2 3 2 3 3" xfId="5268" xr:uid="{00000000-0005-0000-0000-0000AC1C0000}"/>
    <cellStyle name="Normal 8 2 3 2 3 3 2" xfId="13707" xr:uid="{00929748-0706-422B-95DF-7C64905DC342}"/>
    <cellStyle name="Normal 8 2 3 2 3 4" xfId="9489" xr:uid="{A8518981-9DD6-4603-97AB-B66D688B9E51}"/>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63323C20-6F84-4459-868F-8D8B14B36B01}"/>
    <cellStyle name="Normal 8 2 3 2 4 2 3" xfId="12047" xr:uid="{1A2BE9C2-FE1E-42A7-921D-50545785C296}"/>
    <cellStyle name="Normal 8 2 3 2 4 3" xfId="5681" xr:uid="{00000000-0005-0000-0000-0000B01C0000}"/>
    <cellStyle name="Normal 8 2 3 2 4 3 2" xfId="14120" xr:uid="{90CF6EB8-FBDA-4A4D-972D-49B297FB17C8}"/>
    <cellStyle name="Normal 8 2 3 2 4 4" xfId="9902" xr:uid="{276BDEAA-15F5-4798-B00B-CCBC93FB332B}"/>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E04DB0E2-F8BF-4966-B383-F9FB39315CE1}"/>
    <cellStyle name="Normal 8 2 3 2 5 2 3" xfId="12460" xr:uid="{1DAF8F15-684D-4490-A4D3-21ACFDDBAA32}"/>
    <cellStyle name="Normal 8 2 3 2 5 3" xfId="6094" xr:uid="{00000000-0005-0000-0000-0000B41C0000}"/>
    <cellStyle name="Normal 8 2 3 2 5 3 2" xfId="14533" xr:uid="{266326EA-97CA-46FE-90EE-970CD0F111BF}"/>
    <cellStyle name="Normal 8 2 3 2 5 4" xfId="10315" xr:uid="{61369133-0C5F-41E7-8085-EF799FE9D38F}"/>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AFEEBD67-8F87-43EE-98D0-302D25FBC04F}"/>
    <cellStyle name="Normal 8 2 3 2 6 2 3" xfId="12873" xr:uid="{9B6FE37A-92F1-4BC8-A8DF-FA779C09D357}"/>
    <cellStyle name="Normal 8 2 3 2 6 3" xfId="6507" xr:uid="{00000000-0005-0000-0000-0000B81C0000}"/>
    <cellStyle name="Normal 8 2 3 2 6 3 2" xfId="14946" xr:uid="{F40C33E2-AC89-47DB-B1AF-0991A4F27FE7}"/>
    <cellStyle name="Normal 8 2 3 2 6 4" xfId="10728" xr:uid="{29BD3EC2-41BB-4CA3-A75D-2B8E2B9D81D6}"/>
    <cellStyle name="Normal 8 2 3 2 7" xfId="2636" xr:uid="{00000000-0005-0000-0000-0000B91C0000}"/>
    <cellStyle name="Normal 8 2 3 2 7 2" xfId="6920" xr:uid="{00000000-0005-0000-0000-0000BA1C0000}"/>
    <cellStyle name="Normal 8 2 3 2 7 2 2" xfId="15359" xr:uid="{696F590C-B6E1-4675-A22D-B718C2840125}"/>
    <cellStyle name="Normal 8 2 3 2 7 3" xfId="11141" xr:uid="{2A5DD4D1-0EE4-4665-BC95-7E1E353F4DC3}"/>
    <cellStyle name="Normal 8 2 3 2 8" xfId="4855" xr:uid="{00000000-0005-0000-0000-0000BB1C0000}"/>
    <cellStyle name="Normal 8 2 3 2 8 2" xfId="13294" xr:uid="{B463AA13-42E4-40C2-848A-6D080E25CC04}"/>
    <cellStyle name="Normal 8 2 3 2 9" xfId="9076" xr:uid="{2A35CDA4-C5D7-4F1C-BB29-3FB90AAA7AED}"/>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801233A3-DB12-4A56-B4AC-E6A252409667}"/>
    <cellStyle name="Normal 8 2 3 3 2 2 3" xfId="11636" xr:uid="{5A7A18D2-ECB3-4C92-993D-28BA30583A64}"/>
    <cellStyle name="Normal 8 2 3 3 2 3" xfId="5270" xr:uid="{00000000-0005-0000-0000-0000C01C0000}"/>
    <cellStyle name="Normal 8 2 3 3 2 3 2" xfId="13709" xr:uid="{59578264-3608-4A2D-8F43-A9FCB2DBE9AC}"/>
    <cellStyle name="Normal 8 2 3 3 2 4" xfId="9491" xr:uid="{B1B0BCF0-6660-4F4C-A242-1F935065A762}"/>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88CFFAED-D8DC-464B-956C-3A4071374084}"/>
    <cellStyle name="Normal 8 2 3 3 3 2 3" xfId="12049" xr:uid="{360F36A1-2A44-4CDD-A8B7-CB2283606170}"/>
    <cellStyle name="Normal 8 2 3 3 3 3" xfId="5683" xr:uid="{00000000-0005-0000-0000-0000C41C0000}"/>
    <cellStyle name="Normal 8 2 3 3 3 3 2" xfId="14122" xr:uid="{2BB201E7-2DF3-4E7B-B484-665551A17599}"/>
    <cellStyle name="Normal 8 2 3 3 3 4" xfId="9904" xr:uid="{86CC151B-7793-4836-AD23-1D108F5F9276}"/>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893B7E9A-54CC-4CF6-AFA9-086359163EEC}"/>
    <cellStyle name="Normal 8 2 3 3 4 2 3" xfId="12462" xr:uid="{71124BCC-F65C-4DD7-9E7E-78FD6B29DCCF}"/>
    <cellStyle name="Normal 8 2 3 3 4 3" xfId="6096" xr:uid="{00000000-0005-0000-0000-0000C81C0000}"/>
    <cellStyle name="Normal 8 2 3 3 4 3 2" xfId="14535" xr:uid="{45B46254-3E81-410E-AADD-9EC3D22D23FE}"/>
    <cellStyle name="Normal 8 2 3 3 4 4" xfId="10317" xr:uid="{58336362-0ED9-4591-9A88-52FC31859FA3}"/>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C59FCCD0-B9DD-4A74-8B35-C8118CC61D64}"/>
    <cellStyle name="Normal 8 2 3 3 5 2 3" xfId="12875" xr:uid="{F505F2D8-171F-441C-85D6-4FBB2A799327}"/>
    <cellStyle name="Normal 8 2 3 3 5 3" xfId="6509" xr:uid="{00000000-0005-0000-0000-0000CC1C0000}"/>
    <cellStyle name="Normal 8 2 3 3 5 3 2" xfId="14948" xr:uid="{291DA04A-44D7-452B-84EE-16AB9B9E4A4E}"/>
    <cellStyle name="Normal 8 2 3 3 5 4" xfId="10730" xr:uid="{E8EC7C9E-DEFF-4791-AF1B-2D02FDA43059}"/>
    <cellStyle name="Normal 8 2 3 3 6" xfId="2638" xr:uid="{00000000-0005-0000-0000-0000CD1C0000}"/>
    <cellStyle name="Normal 8 2 3 3 6 2" xfId="6922" xr:uid="{00000000-0005-0000-0000-0000CE1C0000}"/>
    <cellStyle name="Normal 8 2 3 3 6 2 2" xfId="15361" xr:uid="{E456687E-CF99-4B5F-83DB-AE3E52DEDC80}"/>
    <cellStyle name="Normal 8 2 3 3 6 3" xfId="11143" xr:uid="{3AF6B41E-DB5F-4C04-A0B0-4FEFBC3B255F}"/>
    <cellStyle name="Normal 8 2 3 3 7" xfId="4857" xr:uid="{00000000-0005-0000-0000-0000CF1C0000}"/>
    <cellStyle name="Normal 8 2 3 3 7 2" xfId="13296" xr:uid="{FD25FA67-BEDD-441D-BA14-316F1075FCD3}"/>
    <cellStyle name="Normal 8 2 3 3 8" xfId="9078" xr:uid="{894A3200-0505-48B9-B9A1-62A271B559FB}"/>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2DDEBC96-7374-4C0B-A082-5BBF2373B51E}"/>
    <cellStyle name="Normal 8 2 3 4 2 3" xfId="11633" xr:uid="{AA3AAC49-F029-469D-BA01-53664AF43488}"/>
    <cellStyle name="Normal 8 2 3 4 3" xfId="5267" xr:uid="{00000000-0005-0000-0000-0000D31C0000}"/>
    <cellStyle name="Normal 8 2 3 4 3 2" xfId="13706" xr:uid="{2D94223E-E269-479B-A7EB-EBF4788FA2A1}"/>
    <cellStyle name="Normal 8 2 3 4 4" xfId="9488" xr:uid="{2E2B6FE6-6A8A-4080-8564-2FCA29038CF4}"/>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7791FF00-7782-4C0C-BE63-979BF8885A1F}"/>
    <cellStyle name="Normal 8 2 3 5 2 3" xfId="12046" xr:uid="{F95A2468-39D2-4ED6-8F4E-0514D4739438}"/>
    <cellStyle name="Normal 8 2 3 5 3" xfId="5680" xr:uid="{00000000-0005-0000-0000-0000D71C0000}"/>
    <cellStyle name="Normal 8 2 3 5 3 2" xfId="14119" xr:uid="{F2C6FCFA-B8D0-40D8-AF97-31E2EAF1AE66}"/>
    <cellStyle name="Normal 8 2 3 5 4" xfId="9901" xr:uid="{15838201-41EA-4B3F-A53B-599DB6DC79A8}"/>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A03C606E-6696-4E53-8EA1-802820975079}"/>
    <cellStyle name="Normal 8 2 3 6 2 3" xfId="12459" xr:uid="{3AEA9345-3611-4061-BCBF-BA719A7A4FAE}"/>
    <cellStyle name="Normal 8 2 3 6 3" xfId="6093" xr:uid="{00000000-0005-0000-0000-0000DB1C0000}"/>
    <cellStyle name="Normal 8 2 3 6 3 2" xfId="14532" xr:uid="{EEAD4548-804A-44A1-BC61-D1D5FF021D31}"/>
    <cellStyle name="Normal 8 2 3 6 4" xfId="10314" xr:uid="{35D9BC44-AC1D-462C-A568-8E6996AFE000}"/>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D99C5CFF-E02E-487D-B0FF-078A0800B9F3}"/>
    <cellStyle name="Normal 8 2 3 7 2 3" xfId="12872" xr:uid="{C57A2D25-03A6-478A-B47B-1D1E1C1B3CFC}"/>
    <cellStyle name="Normal 8 2 3 7 3" xfId="6506" xr:uid="{00000000-0005-0000-0000-0000DF1C0000}"/>
    <cellStyle name="Normal 8 2 3 7 3 2" xfId="14945" xr:uid="{568F957A-91DB-4E75-9202-DF4CDA10E884}"/>
    <cellStyle name="Normal 8 2 3 7 4" xfId="10727" xr:uid="{8AE41152-0A33-4316-9B7E-1CC7CA6B0508}"/>
    <cellStyle name="Normal 8 2 3 8" xfId="2635" xr:uid="{00000000-0005-0000-0000-0000E01C0000}"/>
    <cellStyle name="Normal 8 2 3 8 2" xfId="6919" xr:uid="{00000000-0005-0000-0000-0000E11C0000}"/>
    <cellStyle name="Normal 8 2 3 8 2 2" xfId="15358" xr:uid="{CE00AC69-0B3D-41CA-9FAD-B1F7B48A15BE}"/>
    <cellStyle name="Normal 8 2 3 8 3" xfId="11140" xr:uid="{35491FB4-2505-4B5C-8C55-B4E3A15D6A26}"/>
    <cellStyle name="Normal 8 2 3 9" xfId="4854" xr:uid="{00000000-0005-0000-0000-0000E21C0000}"/>
    <cellStyle name="Normal 8 2 3 9 2" xfId="13293" xr:uid="{6322B722-8F2C-4679-B1D9-A9608BED985E}"/>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C20966F7-525B-4FAC-B4C6-B4A58288E5BF}"/>
    <cellStyle name="Normal 8 2 4 2 2 2 3" xfId="11638" xr:uid="{480E24BA-A9FE-4B22-9D83-0A4EC64CF007}"/>
    <cellStyle name="Normal 8 2 4 2 2 3" xfId="5272" xr:uid="{00000000-0005-0000-0000-0000E81C0000}"/>
    <cellStyle name="Normal 8 2 4 2 2 3 2" xfId="13711" xr:uid="{AC249BF9-EB86-40A9-B76A-048D9EBDE25B}"/>
    <cellStyle name="Normal 8 2 4 2 2 4" xfId="9493" xr:uid="{D685A9F9-F928-4AEC-916D-6F2B43641EE8}"/>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A2DC5EAE-E228-4291-B88A-415AE0CEA9EE}"/>
    <cellStyle name="Normal 8 2 4 2 3 2 3" xfId="12051" xr:uid="{F08F4141-26DD-46B9-B92A-18502AE60B48}"/>
    <cellStyle name="Normal 8 2 4 2 3 3" xfId="5685" xr:uid="{00000000-0005-0000-0000-0000EC1C0000}"/>
    <cellStyle name="Normal 8 2 4 2 3 3 2" xfId="14124" xr:uid="{BC1ABD9C-FDA6-4CBC-9421-92BC5746985A}"/>
    <cellStyle name="Normal 8 2 4 2 3 4" xfId="9906" xr:uid="{47C41876-1FCA-4534-B029-13B2BCFF7AF5}"/>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2C8A55C0-22E2-4067-8606-9200052886B1}"/>
    <cellStyle name="Normal 8 2 4 2 4 2 3" xfId="12464" xr:uid="{99343D93-B054-4B97-8BCD-FF1E44376DBE}"/>
    <cellStyle name="Normal 8 2 4 2 4 3" xfId="6098" xr:uid="{00000000-0005-0000-0000-0000F01C0000}"/>
    <cellStyle name="Normal 8 2 4 2 4 3 2" xfId="14537" xr:uid="{8F6F0239-C59A-4B3D-90DF-442D5073E313}"/>
    <cellStyle name="Normal 8 2 4 2 4 4" xfId="10319" xr:uid="{48661135-8C69-4108-9C08-EBAE5C4B4D7F}"/>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C73418E6-800D-42E5-A789-0F4902A78029}"/>
    <cellStyle name="Normal 8 2 4 2 5 2 3" xfId="12877" xr:uid="{C9F3C802-06C4-4C07-BDF1-059BB796AA13}"/>
    <cellStyle name="Normal 8 2 4 2 5 3" xfId="6511" xr:uid="{00000000-0005-0000-0000-0000F41C0000}"/>
    <cellStyle name="Normal 8 2 4 2 5 3 2" xfId="14950" xr:uid="{20AD1EF9-38C3-41EE-84C3-454E14F45628}"/>
    <cellStyle name="Normal 8 2 4 2 5 4" xfId="10732" xr:uid="{99380E8C-A10D-4458-9ED7-EE7FC6294F16}"/>
    <cellStyle name="Normal 8 2 4 2 6" xfId="2640" xr:uid="{00000000-0005-0000-0000-0000F51C0000}"/>
    <cellStyle name="Normal 8 2 4 2 6 2" xfId="6924" xr:uid="{00000000-0005-0000-0000-0000F61C0000}"/>
    <cellStyle name="Normal 8 2 4 2 6 2 2" xfId="15363" xr:uid="{0E44E7A1-8FDD-4D6D-A0F0-DC968AD9DA5E}"/>
    <cellStyle name="Normal 8 2 4 2 6 3" xfId="11145" xr:uid="{E6A2DF33-28F0-4BDB-A942-1D585473291D}"/>
    <cellStyle name="Normal 8 2 4 2 7" xfId="4859" xr:uid="{00000000-0005-0000-0000-0000F71C0000}"/>
    <cellStyle name="Normal 8 2 4 2 7 2" xfId="13298" xr:uid="{45B4ACF7-323E-42A2-8149-4192DCF44F5D}"/>
    <cellStyle name="Normal 8 2 4 2 8" xfId="9080" xr:uid="{73CA5291-BC55-4CFB-A290-0BD0856BDDE8}"/>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A4CD184F-3F15-4952-A8A7-4E67FED52A10}"/>
    <cellStyle name="Normal 8 2 4 3 2 3" xfId="11637" xr:uid="{76FF6F35-44AA-4D82-98FD-B7C85F6D09D1}"/>
    <cellStyle name="Normal 8 2 4 3 3" xfId="5271" xr:uid="{00000000-0005-0000-0000-0000FB1C0000}"/>
    <cellStyle name="Normal 8 2 4 3 3 2" xfId="13710" xr:uid="{1C9D5FB8-AB73-4A5E-BD78-24C6FBD510C8}"/>
    <cellStyle name="Normal 8 2 4 3 4" xfId="9492" xr:uid="{BF7B4222-C75B-43F2-A319-36CE151346AE}"/>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C7605C46-0CD7-4AC2-94A6-DF020AFC58ED}"/>
    <cellStyle name="Normal 8 2 4 4 2 3" xfId="12050" xr:uid="{D68E74FE-3ADC-4BF2-9B5D-7189ACB6CFD7}"/>
    <cellStyle name="Normal 8 2 4 4 3" xfId="5684" xr:uid="{00000000-0005-0000-0000-0000FF1C0000}"/>
    <cellStyle name="Normal 8 2 4 4 3 2" xfId="14123" xr:uid="{29531C9D-3809-4C3B-B6C2-5324D64D9FB4}"/>
    <cellStyle name="Normal 8 2 4 4 4" xfId="9905" xr:uid="{BCB2C4F7-54FA-4C53-87B4-3E4A0E6473D1}"/>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51FEE9E1-8A46-4595-8FB5-19A5A28A30D5}"/>
    <cellStyle name="Normal 8 2 4 5 2 3" xfId="12463" xr:uid="{0EE43A4F-E4A7-4F32-A986-51FB723A54A9}"/>
    <cellStyle name="Normal 8 2 4 5 3" xfId="6097" xr:uid="{00000000-0005-0000-0000-0000031D0000}"/>
    <cellStyle name="Normal 8 2 4 5 3 2" xfId="14536" xr:uid="{3740892B-6FC7-486F-A375-4AAE8AC7A9C9}"/>
    <cellStyle name="Normal 8 2 4 5 4" xfId="10318" xr:uid="{03E11987-83FF-42E2-86D4-E15BD3539432}"/>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6353ADCD-8FA6-49A4-91F7-27BDC9C91908}"/>
    <cellStyle name="Normal 8 2 4 6 2 3" xfId="12876" xr:uid="{A1CF4E95-DDA6-4783-A528-0A53B1DA2DA1}"/>
    <cellStyle name="Normal 8 2 4 6 3" xfId="6510" xr:uid="{00000000-0005-0000-0000-0000071D0000}"/>
    <cellStyle name="Normal 8 2 4 6 3 2" xfId="14949" xr:uid="{EB1099B6-5F76-4899-B62E-4E93E42EC925}"/>
    <cellStyle name="Normal 8 2 4 6 4" xfId="10731" xr:uid="{1A8C81EF-C13C-4C7C-B920-716E6D9C860F}"/>
    <cellStyle name="Normal 8 2 4 7" xfId="2639" xr:uid="{00000000-0005-0000-0000-0000081D0000}"/>
    <cellStyle name="Normal 8 2 4 7 2" xfId="6923" xr:uid="{00000000-0005-0000-0000-0000091D0000}"/>
    <cellStyle name="Normal 8 2 4 7 2 2" xfId="15362" xr:uid="{E7159EF4-58B0-40C0-AEF8-E0F12937AF2D}"/>
    <cellStyle name="Normal 8 2 4 7 3" xfId="11144" xr:uid="{BACC6534-E7F4-42E0-8CDE-EADD61D63177}"/>
    <cellStyle name="Normal 8 2 4 8" xfId="4858" xr:uid="{00000000-0005-0000-0000-00000A1D0000}"/>
    <cellStyle name="Normal 8 2 4 8 2" xfId="13297" xr:uid="{E43CF8CC-67C6-4014-8846-7D034A71A2E6}"/>
    <cellStyle name="Normal 8 2 4 9" xfId="9079" xr:uid="{2F175A2B-25E7-4512-8D97-67836F7DB4BE}"/>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686FB149-A1B8-48E4-B9A2-05F2D56B642F}"/>
    <cellStyle name="Normal 8 2 5 2 2 3" xfId="11639" xr:uid="{E67DBE71-ACAB-4816-83E2-85704EEDE763}"/>
    <cellStyle name="Normal 8 2 5 2 3" xfId="5273" xr:uid="{00000000-0005-0000-0000-00000F1D0000}"/>
    <cellStyle name="Normal 8 2 5 2 3 2" xfId="13712" xr:uid="{D6260F58-97EB-4189-BE31-340055D1DE59}"/>
    <cellStyle name="Normal 8 2 5 2 4" xfId="9494" xr:uid="{99980D27-11A8-4C6E-9E9C-A2E249AFB47E}"/>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C6F488AF-8864-404D-BA74-83C654DC9EB6}"/>
    <cellStyle name="Normal 8 2 5 3 2 3" xfId="12052" xr:uid="{6DE3F5E5-E019-4494-A6A3-A514C0C22D1E}"/>
    <cellStyle name="Normal 8 2 5 3 3" xfId="5686" xr:uid="{00000000-0005-0000-0000-0000131D0000}"/>
    <cellStyle name="Normal 8 2 5 3 3 2" xfId="14125" xr:uid="{0EC45DF4-CA8D-4D08-A13D-794F154DD02E}"/>
    <cellStyle name="Normal 8 2 5 3 4" xfId="9907" xr:uid="{373BDA95-6435-40FF-A6E8-DFC550290C80}"/>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A48511B0-8D68-4422-A66D-DCDBC0DE92FC}"/>
    <cellStyle name="Normal 8 2 5 4 2 3" xfId="12465" xr:uid="{9C08B6DF-E02D-4C0A-9347-8101A4310548}"/>
    <cellStyle name="Normal 8 2 5 4 3" xfId="6099" xr:uid="{00000000-0005-0000-0000-0000171D0000}"/>
    <cellStyle name="Normal 8 2 5 4 3 2" xfId="14538" xr:uid="{575E2AFB-1403-4554-8E08-532052F7A7FD}"/>
    <cellStyle name="Normal 8 2 5 4 4" xfId="10320" xr:uid="{519EF7CD-F533-4E42-A058-6DE1EEB3CB33}"/>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E5E7DBF6-F316-4747-A3B5-25B868506093}"/>
    <cellStyle name="Normal 8 2 5 5 2 3" xfId="12878" xr:uid="{0ABF0E77-7558-4A84-A44E-D931CAD05F92}"/>
    <cellStyle name="Normal 8 2 5 5 3" xfId="6512" xr:uid="{00000000-0005-0000-0000-00001B1D0000}"/>
    <cellStyle name="Normal 8 2 5 5 3 2" xfId="14951" xr:uid="{0A96F839-E712-4FBD-8696-D08AE5751985}"/>
    <cellStyle name="Normal 8 2 5 5 4" xfId="10733" xr:uid="{8B93E1E3-1520-424E-9EA4-82DAE04EA936}"/>
    <cellStyle name="Normal 8 2 5 6" xfId="2641" xr:uid="{00000000-0005-0000-0000-00001C1D0000}"/>
    <cellStyle name="Normal 8 2 5 6 2" xfId="6925" xr:uid="{00000000-0005-0000-0000-00001D1D0000}"/>
    <cellStyle name="Normal 8 2 5 6 2 2" xfId="15364" xr:uid="{379090DF-F93B-4201-A141-D655ACA731DE}"/>
    <cellStyle name="Normal 8 2 5 6 3" xfId="11146" xr:uid="{B3284508-0DB0-411C-956A-8E86E146E722}"/>
    <cellStyle name="Normal 8 2 5 7" xfId="4860" xr:uid="{00000000-0005-0000-0000-00001E1D0000}"/>
    <cellStyle name="Normal 8 2 5 7 2" xfId="13299" xr:uid="{E5C7B761-296D-4ACE-A802-BEA3E1CDE0AA}"/>
    <cellStyle name="Normal 8 2 5 8" xfId="9081" xr:uid="{5209DFE2-FFD8-422F-B8D9-FDA23233C113}"/>
    <cellStyle name="Normal 8 2 6" xfId="946" xr:uid="{00000000-0005-0000-0000-00001F1D0000}"/>
    <cellStyle name="Normal 8 2 6 2" xfId="3180" xr:uid="{00000000-0005-0000-0000-0000201D0000}"/>
    <cellStyle name="Normal 8 2 6 2 2" xfId="7403" xr:uid="{00000000-0005-0000-0000-0000211D0000}"/>
    <cellStyle name="Normal 8 2 6 2 2 2" xfId="15842" xr:uid="{19ED51A8-1551-4123-BA2D-E78ADD5F9C4A}"/>
    <cellStyle name="Normal 8 2 6 2 3" xfId="11624" xr:uid="{4A7008A7-2EC6-4AAD-9FD1-C0BD68D851A8}"/>
    <cellStyle name="Normal 8 2 6 3" xfId="5258" xr:uid="{00000000-0005-0000-0000-0000221D0000}"/>
    <cellStyle name="Normal 8 2 6 3 2" xfId="13697" xr:uid="{F7A69A24-6EEB-4D15-AA0F-F599D590664D}"/>
    <cellStyle name="Normal 8 2 6 4" xfId="9479" xr:uid="{121E2D67-A5F6-45F0-9108-A10AE70D4D87}"/>
    <cellStyle name="Normal 8 2 7" xfId="1363" xr:uid="{00000000-0005-0000-0000-0000231D0000}"/>
    <cellStyle name="Normal 8 2 7 2" xfId="3593" xr:uid="{00000000-0005-0000-0000-0000241D0000}"/>
    <cellStyle name="Normal 8 2 7 2 2" xfId="7816" xr:uid="{00000000-0005-0000-0000-0000251D0000}"/>
    <cellStyle name="Normal 8 2 7 2 2 2" xfId="16255" xr:uid="{E54391D9-6C98-475D-AF99-2485C4F66EE5}"/>
    <cellStyle name="Normal 8 2 7 2 3" xfId="12037" xr:uid="{D1680064-9124-470B-96CA-F64374237AC7}"/>
    <cellStyle name="Normal 8 2 7 3" xfId="5671" xr:uid="{00000000-0005-0000-0000-0000261D0000}"/>
    <cellStyle name="Normal 8 2 7 3 2" xfId="14110" xr:uid="{5A3F969C-CF49-4482-B0DF-2E38BA925195}"/>
    <cellStyle name="Normal 8 2 7 4" xfId="9892" xr:uid="{81065F82-CD9D-444A-B438-80D58BC12B52}"/>
    <cellStyle name="Normal 8 2 8" xfId="1776" xr:uid="{00000000-0005-0000-0000-0000271D0000}"/>
    <cellStyle name="Normal 8 2 8 2" xfId="4006" xr:uid="{00000000-0005-0000-0000-0000281D0000}"/>
    <cellStyle name="Normal 8 2 8 2 2" xfId="8229" xr:uid="{00000000-0005-0000-0000-0000291D0000}"/>
    <cellStyle name="Normal 8 2 8 2 2 2" xfId="16668" xr:uid="{384CB7E2-1199-4DBE-A9CF-3DAE40E7C48C}"/>
    <cellStyle name="Normal 8 2 8 2 3" xfId="12450" xr:uid="{2D72E453-A086-4083-B33D-B581458E022D}"/>
    <cellStyle name="Normal 8 2 8 3" xfId="6084" xr:uid="{00000000-0005-0000-0000-00002A1D0000}"/>
    <cellStyle name="Normal 8 2 8 3 2" xfId="14523" xr:uid="{46939658-42BB-49F9-8289-396244B7DEB8}"/>
    <cellStyle name="Normal 8 2 8 4" xfId="10305" xr:uid="{D6004FD6-B257-48F0-9344-014CF87F0E30}"/>
    <cellStyle name="Normal 8 2 9" xfId="2190" xr:uid="{00000000-0005-0000-0000-00002B1D0000}"/>
    <cellStyle name="Normal 8 2 9 2" xfId="4419" xr:uid="{00000000-0005-0000-0000-00002C1D0000}"/>
    <cellStyle name="Normal 8 2 9 2 2" xfId="8642" xr:uid="{00000000-0005-0000-0000-00002D1D0000}"/>
    <cellStyle name="Normal 8 2 9 2 2 2" xfId="17081" xr:uid="{38D7D137-0BA1-46CE-BCB5-6153900A7B88}"/>
    <cellStyle name="Normal 8 2 9 2 3" xfId="12863" xr:uid="{90BE2728-2D98-4B6A-ABBB-EAF7B639CAED}"/>
    <cellStyle name="Normal 8 2 9 3" xfId="6497" xr:uid="{00000000-0005-0000-0000-00002E1D0000}"/>
    <cellStyle name="Normal 8 2 9 3 2" xfId="14936" xr:uid="{CBB0BB83-8AFE-4C9F-BC39-C1E343899AF6}"/>
    <cellStyle name="Normal 8 2 9 4" xfId="10718" xr:uid="{85EBEF90-0106-453B-92F4-943A50A8AAF6}"/>
    <cellStyle name="Normal 8 3" xfId="495" xr:uid="{00000000-0005-0000-0000-00002F1D0000}"/>
    <cellStyle name="Normal 8 3 10" xfId="4861" xr:uid="{00000000-0005-0000-0000-0000301D0000}"/>
    <cellStyle name="Normal 8 3 10 2" xfId="13300" xr:uid="{6B8F7A28-2FE3-4548-9998-658233EBD40D}"/>
    <cellStyle name="Normal 8 3 11" xfId="9082" xr:uid="{586F3BA6-3FE1-479B-82F4-57AC41868528}"/>
    <cellStyle name="Normal 8 3 2" xfId="496" xr:uid="{00000000-0005-0000-0000-0000311D0000}"/>
    <cellStyle name="Normal 8 3 2 10" xfId="9083" xr:uid="{71EBBA9A-5506-45B6-9286-BC193BBC8BBC}"/>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0883F1C6-7F11-4E0C-8642-F0A62374BA46}"/>
    <cellStyle name="Normal 8 3 2 2 2 2 2 3" xfId="11643" xr:uid="{14984CAE-5A65-4105-B439-E49786683333}"/>
    <cellStyle name="Normal 8 3 2 2 2 2 3" xfId="5277" xr:uid="{00000000-0005-0000-0000-0000371D0000}"/>
    <cellStyle name="Normal 8 3 2 2 2 2 3 2" xfId="13716" xr:uid="{ACBB7759-415C-41BF-944E-059EB74E09D2}"/>
    <cellStyle name="Normal 8 3 2 2 2 2 4" xfId="9498" xr:uid="{78DD0526-7369-4B26-97D8-EE424AD68F4E}"/>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8FC0D95B-4D37-4AE2-BB88-A13CA8558FBC}"/>
    <cellStyle name="Normal 8 3 2 2 2 3 2 3" xfId="12056" xr:uid="{9A040C7D-DF65-4AF0-9C05-97C2EACC5EC1}"/>
    <cellStyle name="Normal 8 3 2 2 2 3 3" xfId="5690" xr:uid="{00000000-0005-0000-0000-00003B1D0000}"/>
    <cellStyle name="Normal 8 3 2 2 2 3 3 2" xfId="14129" xr:uid="{DD52B59A-AA1D-4455-B59A-A7260C6B1AA8}"/>
    <cellStyle name="Normal 8 3 2 2 2 3 4" xfId="9911" xr:uid="{2BA39FA7-4A2E-48A6-9D19-F89907AD9604}"/>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B024CCD3-08CE-48D1-95B3-38137DCF270D}"/>
    <cellStyle name="Normal 8 3 2 2 2 4 2 3" xfId="12469" xr:uid="{018D4652-A13B-41C9-B2D3-8EB0D7150026}"/>
    <cellStyle name="Normal 8 3 2 2 2 4 3" xfId="6103" xr:uid="{00000000-0005-0000-0000-00003F1D0000}"/>
    <cellStyle name="Normal 8 3 2 2 2 4 3 2" xfId="14542" xr:uid="{D776B6CE-1530-4575-AF4B-75EDB6A9004E}"/>
    <cellStyle name="Normal 8 3 2 2 2 4 4" xfId="10324" xr:uid="{569FA81D-E8A1-4161-8031-A6A33598C1D8}"/>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1839C517-1BDB-410D-95C0-2C41EB2B1A48}"/>
    <cellStyle name="Normal 8 3 2 2 2 5 2 3" xfId="12882" xr:uid="{92EE543B-B142-4A6E-B31E-48AEA0F8B561}"/>
    <cellStyle name="Normal 8 3 2 2 2 5 3" xfId="6516" xr:uid="{00000000-0005-0000-0000-0000431D0000}"/>
    <cellStyle name="Normal 8 3 2 2 2 5 3 2" xfId="14955" xr:uid="{94445D61-BBFD-49D7-B126-EFBB5ADDA4F8}"/>
    <cellStyle name="Normal 8 3 2 2 2 5 4" xfId="10737" xr:uid="{4BBB5652-E368-4B31-8025-BF68D341FF30}"/>
    <cellStyle name="Normal 8 3 2 2 2 6" xfId="2645" xr:uid="{00000000-0005-0000-0000-0000441D0000}"/>
    <cellStyle name="Normal 8 3 2 2 2 6 2" xfId="6929" xr:uid="{00000000-0005-0000-0000-0000451D0000}"/>
    <cellStyle name="Normal 8 3 2 2 2 6 2 2" xfId="15368" xr:uid="{3A9FC848-C970-43F8-ADCD-6A3A79C002E4}"/>
    <cellStyle name="Normal 8 3 2 2 2 6 3" xfId="11150" xr:uid="{3C8990D1-2D87-4792-944C-600B5ED16D84}"/>
    <cellStyle name="Normal 8 3 2 2 2 7" xfId="4864" xr:uid="{00000000-0005-0000-0000-0000461D0000}"/>
    <cellStyle name="Normal 8 3 2 2 2 7 2" xfId="13303" xr:uid="{FF44C463-84F6-4154-B134-CF4F36CF815C}"/>
    <cellStyle name="Normal 8 3 2 2 2 8" xfId="9085" xr:uid="{39D31183-B0B0-4DA7-9034-F40D3348BCF7}"/>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CB6B3313-4164-4EA4-B8E2-6301DD6EAA08}"/>
    <cellStyle name="Normal 8 3 2 2 3 2 3" xfId="11642" xr:uid="{0D57B359-E042-4D22-BA70-C02B18A7EA25}"/>
    <cellStyle name="Normal 8 3 2 2 3 3" xfId="5276" xr:uid="{00000000-0005-0000-0000-00004A1D0000}"/>
    <cellStyle name="Normal 8 3 2 2 3 3 2" xfId="13715" xr:uid="{B0998F03-B708-4351-8C75-0DD9D3DE77F4}"/>
    <cellStyle name="Normal 8 3 2 2 3 4" xfId="9497" xr:uid="{A788B536-2EA6-4FA8-86A1-7D103611354E}"/>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B2D943D1-5599-4699-86A8-B0C6399A1483}"/>
    <cellStyle name="Normal 8 3 2 2 4 2 3" xfId="12055" xr:uid="{3B7A2329-BD43-4E00-AA0C-157448DA9EE3}"/>
    <cellStyle name="Normal 8 3 2 2 4 3" xfId="5689" xr:uid="{00000000-0005-0000-0000-00004E1D0000}"/>
    <cellStyle name="Normal 8 3 2 2 4 3 2" xfId="14128" xr:uid="{2B696A75-F0AF-40F3-80B8-AF9D2E924929}"/>
    <cellStyle name="Normal 8 3 2 2 4 4" xfId="9910" xr:uid="{87FFA10D-406C-4B14-AE69-E77B04F0FDAA}"/>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6478FB27-6A8E-4150-8346-D73596E1CB56}"/>
    <cellStyle name="Normal 8 3 2 2 5 2 3" xfId="12468" xr:uid="{D7F87881-33CF-4B1F-9F21-175D3C3172E7}"/>
    <cellStyle name="Normal 8 3 2 2 5 3" xfId="6102" xr:uid="{00000000-0005-0000-0000-0000521D0000}"/>
    <cellStyle name="Normal 8 3 2 2 5 3 2" xfId="14541" xr:uid="{E41CCA45-8486-457E-A1F0-9CE79DABBC83}"/>
    <cellStyle name="Normal 8 3 2 2 5 4" xfId="10323" xr:uid="{1EBA4257-1284-4A3A-9932-75FC0D2B3E2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569AF15D-23DB-40D9-8D80-4534D7900485}"/>
    <cellStyle name="Normal 8 3 2 2 6 2 3" xfId="12881" xr:uid="{61FB0052-DCE5-4D8C-AD27-C0579B6667A2}"/>
    <cellStyle name="Normal 8 3 2 2 6 3" xfId="6515" xr:uid="{00000000-0005-0000-0000-0000561D0000}"/>
    <cellStyle name="Normal 8 3 2 2 6 3 2" xfId="14954" xr:uid="{AFD4C836-463F-4B6E-9F45-5EE17FDE6D05}"/>
    <cellStyle name="Normal 8 3 2 2 6 4" xfId="10736" xr:uid="{498D6733-0345-4E7B-BBC1-3D3E113E7A77}"/>
    <cellStyle name="Normal 8 3 2 2 7" xfId="2644" xr:uid="{00000000-0005-0000-0000-0000571D0000}"/>
    <cellStyle name="Normal 8 3 2 2 7 2" xfId="6928" xr:uid="{00000000-0005-0000-0000-0000581D0000}"/>
    <cellStyle name="Normal 8 3 2 2 7 2 2" xfId="15367" xr:uid="{CE2FA262-ABC0-47AB-A247-529B356C9655}"/>
    <cellStyle name="Normal 8 3 2 2 7 3" xfId="11149" xr:uid="{1FF14917-7CE9-4FD1-9850-A536FBF23C3F}"/>
    <cellStyle name="Normal 8 3 2 2 8" xfId="4863" xr:uid="{00000000-0005-0000-0000-0000591D0000}"/>
    <cellStyle name="Normal 8 3 2 2 8 2" xfId="13302" xr:uid="{44E07E0A-C239-4622-A550-F9D97F64E5DC}"/>
    <cellStyle name="Normal 8 3 2 2 9" xfId="9084" xr:uid="{55AEA781-7CE2-4479-921C-3BCF201B369A}"/>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7249ABEA-8FD7-4EBA-8D43-560782F25D94}"/>
    <cellStyle name="Normal 8 3 2 3 2 2 3" xfId="11644" xr:uid="{0CE7AFCD-A54C-48A1-BC57-D9DB46778816}"/>
    <cellStyle name="Normal 8 3 2 3 2 3" xfId="5278" xr:uid="{00000000-0005-0000-0000-00005E1D0000}"/>
    <cellStyle name="Normal 8 3 2 3 2 3 2" xfId="13717" xr:uid="{F33D3177-3EBF-4BA9-AFF7-4DC7E613D470}"/>
    <cellStyle name="Normal 8 3 2 3 2 4" xfId="9499" xr:uid="{D710DF05-4A56-4E4F-9236-AF61D2D49ECB}"/>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B1097B75-A7CB-445B-A777-091536233A65}"/>
    <cellStyle name="Normal 8 3 2 3 3 2 3" xfId="12057" xr:uid="{BE2608E6-3DB2-434C-9081-D4AE765DEE3B}"/>
    <cellStyle name="Normal 8 3 2 3 3 3" xfId="5691" xr:uid="{00000000-0005-0000-0000-0000621D0000}"/>
    <cellStyle name="Normal 8 3 2 3 3 3 2" xfId="14130" xr:uid="{D6F45CF9-9D26-4637-867C-0D3F1FA995F7}"/>
    <cellStyle name="Normal 8 3 2 3 3 4" xfId="9912" xr:uid="{C919A550-0CB1-466E-A284-1F3634C89CA9}"/>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6B9D866F-4FF2-46C9-91AD-EF39D7CC84A8}"/>
    <cellStyle name="Normal 8 3 2 3 4 2 3" xfId="12470" xr:uid="{F2377838-BFB9-47AB-8C19-BA4C0A42359C}"/>
    <cellStyle name="Normal 8 3 2 3 4 3" xfId="6104" xr:uid="{00000000-0005-0000-0000-0000661D0000}"/>
    <cellStyle name="Normal 8 3 2 3 4 3 2" xfId="14543" xr:uid="{E24896A3-C347-41F1-94E2-2F9DDD38C426}"/>
    <cellStyle name="Normal 8 3 2 3 4 4" xfId="10325" xr:uid="{C4215FE0-D962-4878-A2F1-DECA53A552D9}"/>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34D4C997-E9FF-49FF-9021-814AA8FBC82B}"/>
    <cellStyle name="Normal 8 3 2 3 5 2 3" xfId="12883" xr:uid="{12D3D738-0E8F-45A7-9483-A67B351748CB}"/>
    <cellStyle name="Normal 8 3 2 3 5 3" xfId="6517" xr:uid="{00000000-0005-0000-0000-00006A1D0000}"/>
    <cellStyle name="Normal 8 3 2 3 5 3 2" xfId="14956" xr:uid="{8BA1EFCA-FA19-45BA-83F2-473C33EEF52E}"/>
    <cellStyle name="Normal 8 3 2 3 5 4" xfId="10738" xr:uid="{582D9B15-3326-44B5-B763-8977FEF9354C}"/>
    <cellStyle name="Normal 8 3 2 3 6" xfId="2646" xr:uid="{00000000-0005-0000-0000-00006B1D0000}"/>
    <cellStyle name="Normal 8 3 2 3 6 2" xfId="6930" xr:uid="{00000000-0005-0000-0000-00006C1D0000}"/>
    <cellStyle name="Normal 8 3 2 3 6 2 2" xfId="15369" xr:uid="{7A35C164-9CB7-4FDE-81A6-569DD6F8D541}"/>
    <cellStyle name="Normal 8 3 2 3 6 3" xfId="11151" xr:uid="{A66167DA-000E-4CBE-BD2B-9D81EF3BCDDF}"/>
    <cellStyle name="Normal 8 3 2 3 7" xfId="4865" xr:uid="{00000000-0005-0000-0000-00006D1D0000}"/>
    <cellStyle name="Normal 8 3 2 3 7 2" xfId="13304" xr:uid="{892672DF-9E54-4D03-8AA5-3FE6AD244149}"/>
    <cellStyle name="Normal 8 3 2 3 8" xfId="9086" xr:uid="{44593564-6D36-486F-804D-46F5F3EACC72}"/>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0EDFEDCD-43E8-4379-A527-C2492473EB3E}"/>
    <cellStyle name="Normal 8 3 2 4 2 3" xfId="11641" xr:uid="{6BDFAC3A-76DF-4A32-8212-E2480293C96A}"/>
    <cellStyle name="Normal 8 3 2 4 3" xfId="5275" xr:uid="{00000000-0005-0000-0000-0000711D0000}"/>
    <cellStyle name="Normal 8 3 2 4 3 2" xfId="13714" xr:uid="{CE9CAD17-F870-49DD-8222-36918EAB7C67}"/>
    <cellStyle name="Normal 8 3 2 4 4" xfId="9496" xr:uid="{A0E62A5A-D9D5-4945-88AB-088FB050A80A}"/>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F2A8D928-95E8-4F0E-BFA9-568B32195DF9}"/>
    <cellStyle name="Normal 8 3 2 5 2 3" xfId="12054" xr:uid="{1E3E39DF-2B7C-4623-8E24-2BF87BE3903E}"/>
    <cellStyle name="Normal 8 3 2 5 3" xfId="5688" xr:uid="{00000000-0005-0000-0000-0000751D0000}"/>
    <cellStyle name="Normal 8 3 2 5 3 2" xfId="14127" xr:uid="{D0102015-C205-4353-BDED-64783D2110EE}"/>
    <cellStyle name="Normal 8 3 2 5 4" xfId="9909" xr:uid="{27D2141C-4893-46A8-81CE-AEE8B3AC671B}"/>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EC7E4E37-01BE-4FAE-95D1-B0BA8267E4C5}"/>
    <cellStyle name="Normal 8 3 2 6 2 3" xfId="12467" xr:uid="{708F0431-558F-41CC-8292-C907A0C25459}"/>
    <cellStyle name="Normal 8 3 2 6 3" xfId="6101" xr:uid="{00000000-0005-0000-0000-0000791D0000}"/>
    <cellStyle name="Normal 8 3 2 6 3 2" xfId="14540" xr:uid="{AAB1D47C-6583-48A3-AB30-3066D045A045}"/>
    <cellStyle name="Normal 8 3 2 6 4" xfId="10322" xr:uid="{0D54B5B8-2C39-43E8-872B-643D5B4E0445}"/>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BE0FA5AE-EFA1-4B1F-B5B8-53E1D658FD59}"/>
    <cellStyle name="Normal 8 3 2 7 2 3" xfId="12880" xr:uid="{7A8DCE25-C185-4EE4-BD6C-50D406B76436}"/>
    <cellStyle name="Normal 8 3 2 7 3" xfId="6514" xr:uid="{00000000-0005-0000-0000-00007D1D0000}"/>
    <cellStyle name="Normal 8 3 2 7 3 2" xfId="14953" xr:uid="{741AAB81-A011-4681-8BD4-6B8F3986F878}"/>
    <cellStyle name="Normal 8 3 2 7 4" xfId="10735" xr:uid="{5EFF6087-F5BC-42B7-BE9A-22F4CE17995D}"/>
    <cellStyle name="Normal 8 3 2 8" xfId="2643" xr:uid="{00000000-0005-0000-0000-00007E1D0000}"/>
    <cellStyle name="Normal 8 3 2 8 2" xfId="6927" xr:uid="{00000000-0005-0000-0000-00007F1D0000}"/>
    <cellStyle name="Normal 8 3 2 8 2 2" xfId="15366" xr:uid="{D12AF8D9-A34D-4C83-880E-D27107BFD5C7}"/>
    <cellStyle name="Normal 8 3 2 8 3" xfId="11148" xr:uid="{719FA6AC-0B4E-4859-A350-18E9986BC513}"/>
    <cellStyle name="Normal 8 3 2 9" xfId="4862" xr:uid="{00000000-0005-0000-0000-0000801D0000}"/>
    <cellStyle name="Normal 8 3 2 9 2" xfId="13301" xr:uid="{F92E6937-5BE6-487D-B030-006BC808AD58}"/>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54A6CE97-8C10-4060-84F6-8743A032FD67}"/>
    <cellStyle name="Normal 8 3 3 2 2 2 3" xfId="11646" xr:uid="{319B6B86-573A-47CF-B8E1-A923AB8473EA}"/>
    <cellStyle name="Normal 8 3 3 2 2 3" xfId="5280" xr:uid="{00000000-0005-0000-0000-0000861D0000}"/>
    <cellStyle name="Normal 8 3 3 2 2 3 2" xfId="13719" xr:uid="{2084AF5D-8FB1-4049-B38D-8527E3E4A2B9}"/>
    <cellStyle name="Normal 8 3 3 2 2 4" xfId="9501" xr:uid="{26F649FF-0C83-488E-84F7-3256E92FED4A}"/>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9308ADCA-CDB7-41D4-8C7E-82DEB8EFDD3F}"/>
    <cellStyle name="Normal 8 3 3 2 3 2 3" xfId="12059" xr:uid="{B1F19D00-5522-4F62-BCD9-6AC9AAE4D2F8}"/>
    <cellStyle name="Normal 8 3 3 2 3 3" xfId="5693" xr:uid="{00000000-0005-0000-0000-00008A1D0000}"/>
    <cellStyle name="Normal 8 3 3 2 3 3 2" xfId="14132" xr:uid="{743B97ED-E0BA-4CB2-99F7-C8FEC7B6B617}"/>
    <cellStyle name="Normal 8 3 3 2 3 4" xfId="9914" xr:uid="{F848AE59-06B4-44AB-AFF6-D14AD7424E39}"/>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45C4F372-99CF-41A9-B088-CBBFD75E6095}"/>
    <cellStyle name="Normal 8 3 3 2 4 2 3" xfId="12472" xr:uid="{1D046886-2DB0-4EC6-98E3-FFD76869C866}"/>
    <cellStyle name="Normal 8 3 3 2 4 3" xfId="6106" xr:uid="{00000000-0005-0000-0000-00008E1D0000}"/>
    <cellStyle name="Normal 8 3 3 2 4 3 2" xfId="14545" xr:uid="{79943978-B607-4CD2-84FD-CA49EA979C61}"/>
    <cellStyle name="Normal 8 3 3 2 4 4" xfId="10327" xr:uid="{AFEBBC8D-5D12-4CE5-AAF6-EEB8C03115E2}"/>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35293B5C-B3A4-44D6-AAB4-77DD0324A359}"/>
    <cellStyle name="Normal 8 3 3 2 5 2 3" xfId="12885" xr:uid="{54A81F80-21E4-43A5-B94B-A8723DFAC42D}"/>
    <cellStyle name="Normal 8 3 3 2 5 3" xfId="6519" xr:uid="{00000000-0005-0000-0000-0000921D0000}"/>
    <cellStyle name="Normal 8 3 3 2 5 3 2" xfId="14958" xr:uid="{A01ABB37-EB6A-4EB6-9EAD-AC36C6C4BA8C}"/>
    <cellStyle name="Normal 8 3 3 2 5 4" xfId="10740" xr:uid="{59B15709-C7DD-48F5-88CF-5A833A9DF4C6}"/>
    <cellStyle name="Normal 8 3 3 2 6" xfId="2648" xr:uid="{00000000-0005-0000-0000-0000931D0000}"/>
    <cellStyle name="Normal 8 3 3 2 6 2" xfId="6932" xr:uid="{00000000-0005-0000-0000-0000941D0000}"/>
    <cellStyle name="Normal 8 3 3 2 6 2 2" xfId="15371" xr:uid="{6192EE9A-B119-4349-9159-823F49EB2EC5}"/>
    <cellStyle name="Normal 8 3 3 2 6 3" xfId="11153" xr:uid="{14C76E49-82D0-4EB2-A2D2-C0B336840ED5}"/>
    <cellStyle name="Normal 8 3 3 2 7" xfId="4867" xr:uid="{00000000-0005-0000-0000-0000951D0000}"/>
    <cellStyle name="Normal 8 3 3 2 7 2" xfId="13306" xr:uid="{65643FEA-4806-4605-9766-A4ADD5A63A66}"/>
    <cellStyle name="Normal 8 3 3 2 8" xfId="9088" xr:uid="{911D86AE-088A-4630-89E1-650087451965}"/>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2D8FEED5-466A-4807-9255-5BE67D778724}"/>
    <cellStyle name="Normal 8 3 3 3 2 3" xfId="11645" xr:uid="{26920F26-D01D-4BEF-AB00-D7BC96153811}"/>
    <cellStyle name="Normal 8 3 3 3 3" xfId="5279" xr:uid="{00000000-0005-0000-0000-0000991D0000}"/>
    <cellStyle name="Normal 8 3 3 3 3 2" xfId="13718" xr:uid="{D7638CE3-80F9-4517-9B63-AABA5BFC63DD}"/>
    <cellStyle name="Normal 8 3 3 3 4" xfId="9500" xr:uid="{CBAEBF3D-0793-4B79-AD11-DE1192C5AC4F}"/>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433F8821-C700-4DCB-9ABF-B17558441B7C}"/>
    <cellStyle name="Normal 8 3 3 4 2 3" xfId="12058" xr:uid="{153428B6-9802-46AC-AEEF-0B9B98EE1C40}"/>
    <cellStyle name="Normal 8 3 3 4 3" xfId="5692" xr:uid="{00000000-0005-0000-0000-00009D1D0000}"/>
    <cellStyle name="Normal 8 3 3 4 3 2" xfId="14131" xr:uid="{591DBD35-B2FC-45C5-9221-108BA327BF40}"/>
    <cellStyle name="Normal 8 3 3 4 4" xfId="9913" xr:uid="{5D7837E8-0F99-4610-9D75-E011DB055414}"/>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149991FD-A474-490E-B650-1A726A14541A}"/>
    <cellStyle name="Normal 8 3 3 5 2 3" xfId="12471" xr:uid="{8B999835-6698-4311-804D-930616AAC09A}"/>
    <cellStyle name="Normal 8 3 3 5 3" xfId="6105" xr:uid="{00000000-0005-0000-0000-0000A11D0000}"/>
    <cellStyle name="Normal 8 3 3 5 3 2" xfId="14544" xr:uid="{CF85B93D-9CC6-4BB4-ADC1-6F8A20EF1164}"/>
    <cellStyle name="Normal 8 3 3 5 4" xfId="10326" xr:uid="{C804C9E9-E2EB-4516-BC7E-5067EDFA106D}"/>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0559B5CD-C1C7-45B1-8235-B5C28BF2BA7C}"/>
    <cellStyle name="Normal 8 3 3 6 2 3" xfId="12884" xr:uid="{9F4A1BFC-C1D7-4ABC-9FDB-7E012DA7990D}"/>
    <cellStyle name="Normal 8 3 3 6 3" xfId="6518" xr:uid="{00000000-0005-0000-0000-0000A51D0000}"/>
    <cellStyle name="Normal 8 3 3 6 3 2" xfId="14957" xr:uid="{414F94FA-ACB8-44BF-8182-AEDCCF62CCD9}"/>
    <cellStyle name="Normal 8 3 3 6 4" xfId="10739" xr:uid="{B6A540B3-CAA6-4935-922C-A5378336F1EB}"/>
    <cellStyle name="Normal 8 3 3 7" xfId="2647" xr:uid="{00000000-0005-0000-0000-0000A61D0000}"/>
    <cellStyle name="Normal 8 3 3 7 2" xfId="6931" xr:uid="{00000000-0005-0000-0000-0000A71D0000}"/>
    <cellStyle name="Normal 8 3 3 7 2 2" xfId="15370" xr:uid="{FEA2CFAB-CBA5-4B45-BC1B-578B1765E1F2}"/>
    <cellStyle name="Normal 8 3 3 7 3" xfId="11152" xr:uid="{A75BAB0B-1025-4E8F-9775-F3088EC82B66}"/>
    <cellStyle name="Normal 8 3 3 8" xfId="4866" xr:uid="{00000000-0005-0000-0000-0000A81D0000}"/>
    <cellStyle name="Normal 8 3 3 8 2" xfId="13305" xr:uid="{F85A988B-122C-4DCE-81AE-D5C51C53D5A8}"/>
    <cellStyle name="Normal 8 3 3 9" xfId="9087" xr:uid="{9136FE15-0698-4D7B-9840-694EED56DF15}"/>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A660EB88-C176-4246-9DCF-10924A0C2F30}"/>
    <cellStyle name="Normal 8 3 4 2 2 3" xfId="11647" xr:uid="{D62F44D0-AC6E-471B-A385-F4CC74297D00}"/>
    <cellStyle name="Normal 8 3 4 2 3" xfId="5281" xr:uid="{00000000-0005-0000-0000-0000AD1D0000}"/>
    <cellStyle name="Normal 8 3 4 2 3 2" xfId="13720" xr:uid="{E0EBB0BA-42BC-496D-A466-480430C73A10}"/>
    <cellStyle name="Normal 8 3 4 2 4" xfId="9502" xr:uid="{EA9D5EFA-2192-4F4F-95B1-FE792036DE6D}"/>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FFF316DB-4B7B-4DA3-BB34-73CE5F59AD86}"/>
    <cellStyle name="Normal 8 3 4 3 2 3" xfId="12060" xr:uid="{8E9305D4-6E71-4929-885D-C28577360AFC}"/>
    <cellStyle name="Normal 8 3 4 3 3" xfId="5694" xr:uid="{00000000-0005-0000-0000-0000B11D0000}"/>
    <cellStyle name="Normal 8 3 4 3 3 2" xfId="14133" xr:uid="{96A0CEE0-F482-483D-AFF4-F8B2A51150D1}"/>
    <cellStyle name="Normal 8 3 4 3 4" xfId="9915" xr:uid="{BA437AE8-3E8C-4C0F-81B8-FA8749AF8949}"/>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D254C90A-7EF8-4CB1-A02E-C4027B0A9D29}"/>
    <cellStyle name="Normal 8 3 4 4 2 3" xfId="12473" xr:uid="{97B5414E-4398-4119-A571-76B392FC57B9}"/>
    <cellStyle name="Normal 8 3 4 4 3" xfId="6107" xr:uid="{00000000-0005-0000-0000-0000B51D0000}"/>
    <cellStyle name="Normal 8 3 4 4 3 2" xfId="14546" xr:uid="{64CFB64F-FB96-4CB8-A7E0-4D2CB609A012}"/>
    <cellStyle name="Normal 8 3 4 4 4" xfId="10328" xr:uid="{9BF5EDA2-FD61-4779-A042-F58986E1BD29}"/>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09CE496B-6E49-4D7F-B890-4462A7083980}"/>
    <cellStyle name="Normal 8 3 4 5 2 3" xfId="12886" xr:uid="{6C35CDE1-3703-484E-BFBC-8987B43D203D}"/>
    <cellStyle name="Normal 8 3 4 5 3" xfId="6520" xr:uid="{00000000-0005-0000-0000-0000B91D0000}"/>
    <cellStyle name="Normal 8 3 4 5 3 2" xfId="14959" xr:uid="{48A232C7-E9F6-4C25-B87F-448B839D5A6C}"/>
    <cellStyle name="Normal 8 3 4 5 4" xfId="10741" xr:uid="{6C8C86A0-C7AD-4AD7-83C5-F29FAEE31D73}"/>
    <cellStyle name="Normal 8 3 4 6" xfId="2649" xr:uid="{00000000-0005-0000-0000-0000BA1D0000}"/>
    <cellStyle name="Normal 8 3 4 6 2" xfId="6933" xr:uid="{00000000-0005-0000-0000-0000BB1D0000}"/>
    <cellStyle name="Normal 8 3 4 6 2 2" xfId="15372" xr:uid="{C17BDC4E-1C7B-4EBF-AA7A-0C2F64DEC124}"/>
    <cellStyle name="Normal 8 3 4 6 3" xfId="11154" xr:uid="{3DD6680C-05B3-4B44-9581-D9C699263203}"/>
    <cellStyle name="Normal 8 3 4 7" xfId="4868" xr:uid="{00000000-0005-0000-0000-0000BC1D0000}"/>
    <cellStyle name="Normal 8 3 4 7 2" xfId="13307" xr:uid="{2D022919-600B-41CB-88BC-DAB36D34E18B}"/>
    <cellStyle name="Normal 8 3 4 8" xfId="9089" xr:uid="{C096446B-ED03-40A6-A884-47583DDA93A4}"/>
    <cellStyle name="Normal 8 3 5" xfId="962" xr:uid="{00000000-0005-0000-0000-0000BD1D0000}"/>
    <cellStyle name="Normal 8 3 5 2" xfId="3196" xr:uid="{00000000-0005-0000-0000-0000BE1D0000}"/>
    <cellStyle name="Normal 8 3 5 2 2" xfId="7419" xr:uid="{00000000-0005-0000-0000-0000BF1D0000}"/>
    <cellStyle name="Normal 8 3 5 2 2 2" xfId="15858" xr:uid="{1DE949C7-8F2C-4574-A551-7A142D9F722D}"/>
    <cellStyle name="Normal 8 3 5 2 3" xfId="11640" xr:uid="{88FBCF46-7DD3-490C-AE17-070547085F88}"/>
    <cellStyle name="Normal 8 3 5 3" xfId="5274" xr:uid="{00000000-0005-0000-0000-0000C01D0000}"/>
    <cellStyle name="Normal 8 3 5 3 2" xfId="13713" xr:uid="{FD816D53-A0B6-4A7E-81FD-E60C101BF883}"/>
    <cellStyle name="Normal 8 3 5 4" xfId="9495" xr:uid="{C7EFB6EB-41DD-4FBE-9AEA-EC0778ECDCF1}"/>
    <cellStyle name="Normal 8 3 6" xfId="1379" xr:uid="{00000000-0005-0000-0000-0000C11D0000}"/>
    <cellStyle name="Normal 8 3 6 2" xfId="3609" xr:uid="{00000000-0005-0000-0000-0000C21D0000}"/>
    <cellStyle name="Normal 8 3 6 2 2" xfId="7832" xr:uid="{00000000-0005-0000-0000-0000C31D0000}"/>
    <cellStyle name="Normal 8 3 6 2 2 2" xfId="16271" xr:uid="{AE03C0CE-206F-4271-B057-9A9160AED1F8}"/>
    <cellStyle name="Normal 8 3 6 2 3" xfId="12053" xr:uid="{EEBB8C73-7D7D-4EC0-8F1E-627E1F33A66D}"/>
    <cellStyle name="Normal 8 3 6 3" xfId="5687" xr:uid="{00000000-0005-0000-0000-0000C41D0000}"/>
    <cellStyle name="Normal 8 3 6 3 2" xfId="14126" xr:uid="{F8FA73EA-2B73-4A00-8A5C-A3521C5CD339}"/>
    <cellStyle name="Normal 8 3 6 4" xfId="9908" xr:uid="{E9858383-F617-4D8E-A18D-FBC9A4F1B275}"/>
    <cellStyle name="Normal 8 3 7" xfId="1792" xr:uid="{00000000-0005-0000-0000-0000C51D0000}"/>
    <cellStyle name="Normal 8 3 7 2" xfId="4022" xr:uid="{00000000-0005-0000-0000-0000C61D0000}"/>
    <cellStyle name="Normal 8 3 7 2 2" xfId="8245" xr:uid="{00000000-0005-0000-0000-0000C71D0000}"/>
    <cellStyle name="Normal 8 3 7 2 2 2" xfId="16684" xr:uid="{218D7B75-5EA6-457D-A8D7-B3CAC233BABD}"/>
    <cellStyle name="Normal 8 3 7 2 3" xfId="12466" xr:uid="{5DAEFB2F-C6A9-4272-AA95-A5EEFA94ABDD}"/>
    <cellStyle name="Normal 8 3 7 3" xfId="6100" xr:uid="{00000000-0005-0000-0000-0000C81D0000}"/>
    <cellStyle name="Normal 8 3 7 3 2" xfId="14539" xr:uid="{782D07E2-2857-40EF-8952-36020B3F68D6}"/>
    <cellStyle name="Normal 8 3 7 4" xfId="10321" xr:uid="{33F438DE-6A89-4B16-861E-4770CCE77E8A}"/>
    <cellStyle name="Normal 8 3 8" xfId="2206" xr:uid="{00000000-0005-0000-0000-0000C91D0000}"/>
    <cellStyle name="Normal 8 3 8 2" xfId="4435" xr:uid="{00000000-0005-0000-0000-0000CA1D0000}"/>
    <cellStyle name="Normal 8 3 8 2 2" xfId="8658" xr:uid="{00000000-0005-0000-0000-0000CB1D0000}"/>
    <cellStyle name="Normal 8 3 8 2 2 2" xfId="17097" xr:uid="{92A1E7B7-6AC5-45DE-80FC-CEBEDEB96006}"/>
    <cellStyle name="Normal 8 3 8 2 3" xfId="12879" xr:uid="{5A94A445-60E6-467A-B985-DAE9E6F66012}"/>
    <cellStyle name="Normal 8 3 8 3" xfId="6513" xr:uid="{00000000-0005-0000-0000-0000CC1D0000}"/>
    <cellStyle name="Normal 8 3 8 3 2" xfId="14952" xr:uid="{4CFAD8D8-208C-41D7-8FE7-89429111B292}"/>
    <cellStyle name="Normal 8 3 8 4" xfId="10734" xr:uid="{A6200931-EE1C-484D-BC6F-7E1B1A23E4EB}"/>
    <cellStyle name="Normal 8 3 9" xfId="2642" xr:uid="{00000000-0005-0000-0000-0000CD1D0000}"/>
    <cellStyle name="Normal 8 3 9 2" xfId="6926" xr:uid="{00000000-0005-0000-0000-0000CE1D0000}"/>
    <cellStyle name="Normal 8 3 9 2 2" xfId="15365" xr:uid="{A8DABA19-7F56-45E3-AA63-BD619FAB0E09}"/>
    <cellStyle name="Normal 8 3 9 3" xfId="11147" xr:uid="{76AF590B-F698-43DD-BA62-A799C1DE539F}"/>
    <cellStyle name="Normal 8 4" xfId="503" xr:uid="{00000000-0005-0000-0000-0000CF1D0000}"/>
    <cellStyle name="Normal 8 4 10" xfId="9090" xr:uid="{F439B2EA-F0D2-443D-9AE2-23DFE6584C0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AAEF45ED-91D6-4627-97B1-8D81EF21B7D3}"/>
    <cellStyle name="Normal 8 4 2 2 2 2 3" xfId="11650" xr:uid="{E034AD31-7E20-40C9-8500-DF730554DC53}"/>
    <cellStyle name="Normal 8 4 2 2 2 3" xfId="5284" xr:uid="{00000000-0005-0000-0000-0000D51D0000}"/>
    <cellStyle name="Normal 8 4 2 2 2 3 2" xfId="13723" xr:uid="{F29E3BE2-9933-4480-88A8-AC45877C2820}"/>
    <cellStyle name="Normal 8 4 2 2 2 4" xfId="9505" xr:uid="{38B175E0-BDB4-4C59-8FED-481EE488B420}"/>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594E5E2E-0FE1-4736-879E-CB0FCC1EB257}"/>
    <cellStyle name="Normal 8 4 2 2 3 2 3" xfId="12063" xr:uid="{A5DE4BB4-483F-4845-8B6F-B61D153F4A16}"/>
    <cellStyle name="Normal 8 4 2 2 3 3" xfId="5697" xr:uid="{00000000-0005-0000-0000-0000D91D0000}"/>
    <cellStyle name="Normal 8 4 2 2 3 3 2" xfId="14136" xr:uid="{B5B994C0-0A87-4047-A7AA-2FB9B11E9120}"/>
    <cellStyle name="Normal 8 4 2 2 3 4" xfId="9918" xr:uid="{06CC01CA-D804-4057-8DFD-3D1467D2EE2C}"/>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B1026100-5011-419F-ABCD-9D6CC1126E48}"/>
    <cellStyle name="Normal 8 4 2 2 4 2 3" xfId="12476" xr:uid="{E0E8B5F0-7263-4E55-9720-D3A2EA41B73D}"/>
    <cellStyle name="Normal 8 4 2 2 4 3" xfId="6110" xr:uid="{00000000-0005-0000-0000-0000DD1D0000}"/>
    <cellStyle name="Normal 8 4 2 2 4 3 2" xfId="14549" xr:uid="{4B7DD4C3-85BB-4745-8466-4903E6717A39}"/>
    <cellStyle name="Normal 8 4 2 2 4 4" xfId="10331" xr:uid="{821A3EDF-5560-4E0E-8798-7B42CA38E389}"/>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A3D58D6D-2DF6-4206-B115-2029821FE214}"/>
    <cellStyle name="Normal 8 4 2 2 5 2 3" xfId="12889" xr:uid="{5429F326-7073-410F-AC76-5E8C249630FE}"/>
    <cellStyle name="Normal 8 4 2 2 5 3" xfId="6523" xr:uid="{00000000-0005-0000-0000-0000E11D0000}"/>
    <cellStyle name="Normal 8 4 2 2 5 3 2" xfId="14962" xr:uid="{92B6C212-FA03-4B54-AB00-17ADDCFA4C00}"/>
    <cellStyle name="Normal 8 4 2 2 5 4" xfId="10744" xr:uid="{7639780C-11DA-41F8-9659-2283E200F6D1}"/>
    <cellStyle name="Normal 8 4 2 2 6" xfId="2652" xr:uid="{00000000-0005-0000-0000-0000E21D0000}"/>
    <cellStyle name="Normal 8 4 2 2 6 2" xfId="6936" xr:uid="{00000000-0005-0000-0000-0000E31D0000}"/>
    <cellStyle name="Normal 8 4 2 2 6 2 2" xfId="15375" xr:uid="{485D58D6-0D9F-4AF4-9FC1-B0C0679BECD4}"/>
    <cellStyle name="Normal 8 4 2 2 6 3" xfId="11157" xr:uid="{8E040521-2574-440F-8FAC-0D467C13D451}"/>
    <cellStyle name="Normal 8 4 2 2 7" xfId="4871" xr:uid="{00000000-0005-0000-0000-0000E41D0000}"/>
    <cellStyle name="Normal 8 4 2 2 7 2" xfId="13310" xr:uid="{AE0C2356-4FDD-490D-9EEF-A07B0A05A980}"/>
    <cellStyle name="Normal 8 4 2 2 8" xfId="9092" xr:uid="{8C04CB59-640D-4A3E-9061-660D4585AA4E}"/>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64BA2D85-FF00-428C-ACAC-78BAF2EBBE74}"/>
    <cellStyle name="Normal 8 4 2 3 2 3" xfId="11649" xr:uid="{6D7F473F-7380-496F-BAAD-8124773A76D4}"/>
    <cellStyle name="Normal 8 4 2 3 3" xfId="5283" xr:uid="{00000000-0005-0000-0000-0000E81D0000}"/>
    <cellStyle name="Normal 8 4 2 3 3 2" xfId="13722" xr:uid="{44CC3417-32AC-478F-A1E7-120999053AAC}"/>
    <cellStyle name="Normal 8 4 2 3 4" xfId="9504" xr:uid="{707A7244-E906-48ED-B583-203E9E8DF030}"/>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F87B5386-2627-4148-9F69-971EFFFB8DB6}"/>
    <cellStyle name="Normal 8 4 2 4 2 3" xfId="12062" xr:uid="{142371D9-2A6D-4AA4-A5B4-77FD715FCA7C}"/>
    <cellStyle name="Normal 8 4 2 4 3" xfId="5696" xr:uid="{00000000-0005-0000-0000-0000EC1D0000}"/>
    <cellStyle name="Normal 8 4 2 4 3 2" xfId="14135" xr:uid="{952F85CB-A15C-4E49-B8E2-0E542211837A}"/>
    <cellStyle name="Normal 8 4 2 4 4" xfId="9917" xr:uid="{7DDEE294-9C5E-4254-91F4-27FF2218716D}"/>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01C2EAD6-5992-4338-A96F-87F53FB33DAB}"/>
    <cellStyle name="Normal 8 4 2 5 2 3" xfId="12475" xr:uid="{9C38B7E2-3D4C-4F7B-98F6-FE55C1C4E9FD}"/>
    <cellStyle name="Normal 8 4 2 5 3" xfId="6109" xr:uid="{00000000-0005-0000-0000-0000F01D0000}"/>
    <cellStyle name="Normal 8 4 2 5 3 2" xfId="14548" xr:uid="{BFEE87BD-99FD-475D-9FAC-CC1372B9E810}"/>
    <cellStyle name="Normal 8 4 2 5 4" xfId="10330" xr:uid="{0B3762BE-6785-46BD-AB63-51CA9E11FBFC}"/>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DE3A52E1-0E09-4EC1-8150-B5DDD72A039D}"/>
    <cellStyle name="Normal 8 4 2 6 2 3" xfId="12888" xr:uid="{950FA4B4-6A8D-4DCA-9B97-A2360FBA1215}"/>
    <cellStyle name="Normal 8 4 2 6 3" xfId="6522" xr:uid="{00000000-0005-0000-0000-0000F41D0000}"/>
    <cellStyle name="Normal 8 4 2 6 3 2" xfId="14961" xr:uid="{B38D19FD-21CF-44BF-8DAB-DB7A4C7C38DE}"/>
    <cellStyle name="Normal 8 4 2 6 4" xfId="10743" xr:uid="{DF536C4A-B8E0-44BC-BCA5-7382C9110D39}"/>
    <cellStyle name="Normal 8 4 2 7" xfId="2651" xr:uid="{00000000-0005-0000-0000-0000F51D0000}"/>
    <cellStyle name="Normal 8 4 2 7 2" xfId="6935" xr:uid="{00000000-0005-0000-0000-0000F61D0000}"/>
    <cellStyle name="Normal 8 4 2 7 2 2" xfId="15374" xr:uid="{24F10C94-A420-431C-9112-993F274D31D7}"/>
    <cellStyle name="Normal 8 4 2 7 3" xfId="11156" xr:uid="{03F847E0-685F-4CEA-A5BD-362C08FB2EB1}"/>
    <cellStyle name="Normal 8 4 2 8" xfId="4870" xr:uid="{00000000-0005-0000-0000-0000F71D0000}"/>
    <cellStyle name="Normal 8 4 2 8 2" xfId="13309" xr:uid="{1902ED4C-A2E9-4B46-9FC8-B01A7B42E6CE}"/>
    <cellStyle name="Normal 8 4 2 9" xfId="9091" xr:uid="{E9D24CF1-89DA-4ABE-9C2C-DD4FF8137449}"/>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64CD9D71-27DE-4CD9-B95A-C1DE1FF9F603}"/>
    <cellStyle name="Normal 8 4 3 2 2 3" xfId="11651" xr:uid="{017DDB16-6F48-4877-9B6C-B06A5228BD58}"/>
    <cellStyle name="Normal 8 4 3 2 3" xfId="5285" xr:uid="{00000000-0005-0000-0000-0000FC1D0000}"/>
    <cellStyle name="Normal 8 4 3 2 3 2" xfId="13724" xr:uid="{00FF79A2-150E-4409-91F9-2A365D2EBD88}"/>
    <cellStyle name="Normal 8 4 3 2 4" xfId="9506" xr:uid="{BC4CDF18-770D-4B9F-BFCE-F4C29C52C722}"/>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955D3EEF-4F84-463F-B265-ABE89DD79AAE}"/>
    <cellStyle name="Normal 8 4 3 3 2 3" xfId="12064" xr:uid="{B2D2A6E4-99C5-4AA6-9CA5-AC5083109415}"/>
    <cellStyle name="Normal 8 4 3 3 3" xfId="5698" xr:uid="{00000000-0005-0000-0000-0000001E0000}"/>
    <cellStyle name="Normal 8 4 3 3 3 2" xfId="14137" xr:uid="{DE0C4D12-6C04-40C7-8B73-1F1226E611A4}"/>
    <cellStyle name="Normal 8 4 3 3 4" xfId="9919" xr:uid="{CE18130B-40C4-4DD8-B322-B14BBD473587}"/>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B44A4CE7-E8AE-4CD8-B775-9FA0A81322F6}"/>
    <cellStyle name="Normal 8 4 3 4 2 3" xfId="12477" xr:uid="{221DB161-267B-4E2E-9CD5-8C47019F0C93}"/>
    <cellStyle name="Normal 8 4 3 4 3" xfId="6111" xr:uid="{00000000-0005-0000-0000-0000041E0000}"/>
    <cellStyle name="Normal 8 4 3 4 3 2" xfId="14550" xr:uid="{1BD38228-24A1-4F50-9242-5D912C9011D7}"/>
    <cellStyle name="Normal 8 4 3 4 4" xfId="10332" xr:uid="{3D53493F-A0F0-4B4A-ABD9-CD2B76DCDEF3}"/>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F2AD3324-E7B5-4923-A912-147A91AAB53D}"/>
    <cellStyle name="Normal 8 4 3 5 2 3" xfId="12890" xr:uid="{09DCAAE9-690C-4EC4-9E7F-720F63B89D7B}"/>
    <cellStyle name="Normal 8 4 3 5 3" xfId="6524" xr:uid="{00000000-0005-0000-0000-0000081E0000}"/>
    <cellStyle name="Normal 8 4 3 5 3 2" xfId="14963" xr:uid="{7432ED46-B53C-4706-86D5-7E809E888ADF}"/>
    <cellStyle name="Normal 8 4 3 5 4" xfId="10745" xr:uid="{BB08B871-1F6A-47AF-A261-64249004CC14}"/>
    <cellStyle name="Normal 8 4 3 6" xfId="2653" xr:uid="{00000000-0005-0000-0000-0000091E0000}"/>
    <cellStyle name="Normal 8 4 3 6 2" xfId="6937" xr:uid="{00000000-0005-0000-0000-00000A1E0000}"/>
    <cellStyle name="Normal 8 4 3 6 2 2" xfId="15376" xr:uid="{D243D756-FA73-4299-ADFF-5A4B47B0D5C1}"/>
    <cellStyle name="Normal 8 4 3 6 3" xfId="11158" xr:uid="{5177BC37-4427-4883-9858-2FCB2B4EA60B}"/>
    <cellStyle name="Normal 8 4 3 7" xfId="4872" xr:uid="{00000000-0005-0000-0000-00000B1E0000}"/>
    <cellStyle name="Normal 8 4 3 7 2" xfId="13311" xr:uid="{F38B9092-9073-4C9C-83BF-B46C353B6BAC}"/>
    <cellStyle name="Normal 8 4 3 8" xfId="9093" xr:uid="{20EA121A-3CB2-4730-932D-9262402531C5}"/>
    <cellStyle name="Normal 8 4 4" xfId="970" xr:uid="{00000000-0005-0000-0000-00000C1E0000}"/>
    <cellStyle name="Normal 8 4 4 2" xfId="3204" xr:uid="{00000000-0005-0000-0000-00000D1E0000}"/>
    <cellStyle name="Normal 8 4 4 2 2" xfId="7427" xr:uid="{00000000-0005-0000-0000-00000E1E0000}"/>
    <cellStyle name="Normal 8 4 4 2 2 2" xfId="15866" xr:uid="{C120CE04-F0BC-488B-B942-CB8B23729EAF}"/>
    <cellStyle name="Normal 8 4 4 2 3" xfId="11648" xr:uid="{38F7EE8A-12FD-40F5-AFDC-EAF3AF623CA4}"/>
    <cellStyle name="Normal 8 4 4 3" xfId="5282" xr:uid="{00000000-0005-0000-0000-00000F1E0000}"/>
    <cellStyle name="Normal 8 4 4 3 2" xfId="13721" xr:uid="{926B0123-A0F5-41E3-AA0F-6DE51D0DF9E5}"/>
    <cellStyle name="Normal 8 4 4 4" xfId="9503" xr:uid="{3BFE6E9E-8EA3-4D98-A585-B8D4EAE54A5F}"/>
    <cellStyle name="Normal 8 4 5" xfId="1387" xr:uid="{00000000-0005-0000-0000-0000101E0000}"/>
    <cellStyle name="Normal 8 4 5 2" xfId="3617" xr:uid="{00000000-0005-0000-0000-0000111E0000}"/>
    <cellStyle name="Normal 8 4 5 2 2" xfId="7840" xr:uid="{00000000-0005-0000-0000-0000121E0000}"/>
    <cellStyle name="Normal 8 4 5 2 2 2" xfId="16279" xr:uid="{E1B6D373-F36B-47B4-B668-7AE16C326069}"/>
    <cellStyle name="Normal 8 4 5 2 3" xfId="12061" xr:uid="{96AC12E3-52DB-430E-9E2A-26EC55528BF7}"/>
    <cellStyle name="Normal 8 4 5 3" xfId="5695" xr:uid="{00000000-0005-0000-0000-0000131E0000}"/>
    <cellStyle name="Normal 8 4 5 3 2" xfId="14134" xr:uid="{61C823B3-A42C-4DDA-960E-7F1F7070AE87}"/>
    <cellStyle name="Normal 8 4 5 4" xfId="9916" xr:uid="{3BDC5749-819C-4DC1-A73C-4125ADF9EE06}"/>
    <cellStyle name="Normal 8 4 6" xfId="1800" xr:uid="{00000000-0005-0000-0000-0000141E0000}"/>
    <cellStyle name="Normal 8 4 6 2" xfId="4030" xr:uid="{00000000-0005-0000-0000-0000151E0000}"/>
    <cellStyle name="Normal 8 4 6 2 2" xfId="8253" xr:uid="{00000000-0005-0000-0000-0000161E0000}"/>
    <cellStyle name="Normal 8 4 6 2 2 2" xfId="16692" xr:uid="{43880ED5-BE11-4D49-9481-403AAC09343B}"/>
    <cellStyle name="Normal 8 4 6 2 3" xfId="12474" xr:uid="{3C5849BD-AAF3-4FF0-A0BF-73CF8D83A970}"/>
    <cellStyle name="Normal 8 4 6 3" xfId="6108" xr:uid="{00000000-0005-0000-0000-0000171E0000}"/>
    <cellStyle name="Normal 8 4 6 3 2" xfId="14547" xr:uid="{3EDEA915-C259-489C-897B-3AFD2EE28FF1}"/>
    <cellStyle name="Normal 8 4 6 4" xfId="10329" xr:uid="{8A7382FE-B8A2-43EF-9604-030EE52DA3BD}"/>
    <cellStyle name="Normal 8 4 7" xfId="2214" xr:uid="{00000000-0005-0000-0000-0000181E0000}"/>
    <cellStyle name="Normal 8 4 7 2" xfId="4443" xr:uid="{00000000-0005-0000-0000-0000191E0000}"/>
    <cellStyle name="Normal 8 4 7 2 2" xfId="8666" xr:uid="{00000000-0005-0000-0000-00001A1E0000}"/>
    <cellStyle name="Normal 8 4 7 2 2 2" xfId="17105" xr:uid="{A9BE871E-FA20-4A84-B3BF-8DEBC73DAF98}"/>
    <cellStyle name="Normal 8 4 7 2 3" xfId="12887" xr:uid="{4DB52D9C-020E-4A70-8C73-3A4FEA51C453}"/>
    <cellStyle name="Normal 8 4 7 3" xfId="6521" xr:uid="{00000000-0005-0000-0000-00001B1E0000}"/>
    <cellStyle name="Normal 8 4 7 3 2" xfId="14960" xr:uid="{F5F16DDD-97BD-4E56-B6DC-41EC0CE76E4A}"/>
    <cellStyle name="Normal 8 4 7 4" xfId="10742" xr:uid="{673B34DC-2DF8-4F76-9B01-DAB92F5CFE58}"/>
    <cellStyle name="Normal 8 4 8" xfId="2650" xr:uid="{00000000-0005-0000-0000-00001C1E0000}"/>
    <cellStyle name="Normal 8 4 8 2" xfId="6934" xr:uid="{00000000-0005-0000-0000-00001D1E0000}"/>
    <cellStyle name="Normal 8 4 8 2 2" xfId="15373" xr:uid="{C133E64C-4449-4FEE-A17B-FD6E35307CA8}"/>
    <cellStyle name="Normal 8 4 8 3" xfId="11155" xr:uid="{E415725A-7519-43D6-B3A5-E994BF6CD919}"/>
    <cellStyle name="Normal 8 4 9" xfId="4869" xr:uid="{00000000-0005-0000-0000-00001E1E0000}"/>
    <cellStyle name="Normal 8 4 9 2" xfId="13308" xr:uid="{70FEF8AA-07A4-4792-865A-A990132BFCF1}"/>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F3D15099-76BC-4D4F-B50C-5DDF10AEE211}"/>
    <cellStyle name="Normal 8 5 2 2 2 3" xfId="11653" xr:uid="{795CDDB8-904B-4867-9C66-EE50FAA1B78C}"/>
    <cellStyle name="Normal 8 5 2 2 3" xfId="5287" xr:uid="{00000000-0005-0000-0000-0000241E0000}"/>
    <cellStyle name="Normal 8 5 2 2 3 2" xfId="13726" xr:uid="{D1981C87-5538-4A2D-B13A-6B67F771097D}"/>
    <cellStyle name="Normal 8 5 2 2 4" xfId="9508" xr:uid="{E49FA9D8-FD31-41C7-BC37-CDE766B52ABE}"/>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DF3E2668-B274-4555-87D5-202F7F39D9DE}"/>
    <cellStyle name="Normal 8 5 2 3 2 3" xfId="12066" xr:uid="{7288CA8B-8BFC-48D8-AE72-14E08B92BB63}"/>
    <cellStyle name="Normal 8 5 2 3 3" xfId="5700" xr:uid="{00000000-0005-0000-0000-0000281E0000}"/>
    <cellStyle name="Normal 8 5 2 3 3 2" xfId="14139" xr:uid="{FB5DAF84-58C0-4828-A582-C7FBCAEE7621}"/>
    <cellStyle name="Normal 8 5 2 3 4" xfId="9921" xr:uid="{B515CE79-D470-45E5-9BC4-F15C0B41F4D1}"/>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46C6FF0D-EE1E-46F8-816F-9018D1B24F1C}"/>
    <cellStyle name="Normal 8 5 2 4 2 3" xfId="12479" xr:uid="{9C5C873A-6CC0-424E-9112-F8DCB48A4414}"/>
    <cellStyle name="Normal 8 5 2 4 3" xfId="6113" xr:uid="{00000000-0005-0000-0000-00002C1E0000}"/>
    <cellStyle name="Normal 8 5 2 4 3 2" xfId="14552" xr:uid="{31053C0E-1A5A-4320-91FA-B0683B120E74}"/>
    <cellStyle name="Normal 8 5 2 4 4" xfId="10334" xr:uid="{060B5D7E-4AE2-4906-8552-29272ED095CD}"/>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46BA4524-9A2C-41AF-823D-DB807D808F81}"/>
    <cellStyle name="Normal 8 5 2 5 2 3" xfId="12892" xr:uid="{AC277BBC-059A-4B97-B71F-7129AA876B4D}"/>
    <cellStyle name="Normal 8 5 2 5 3" xfId="6526" xr:uid="{00000000-0005-0000-0000-0000301E0000}"/>
    <cellStyle name="Normal 8 5 2 5 3 2" xfId="14965" xr:uid="{1FBC6F04-C475-47DA-BCC0-DDF6AF86477A}"/>
    <cellStyle name="Normal 8 5 2 5 4" xfId="10747" xr:uid="{AB5BC02D-E533-477F-B9F0-C2A2045F6E5C}"/>
    <cellStyle name="Normal 8 5 2 6" xfId="2655" xr:uid="{00000000-0005-0000-0000-0000311E0000}"/>
    <cellStyle name="Normal 8 5 2 6 2" xfId="6939" xr:uid="{00000000-0005-0000-0000-0000321E0000}"/>
    <cellStyle name="Normal 8 5 2 6 2 2" xfId="15378" xr:uid="{7A5BE2FE-A7B6-4AE4-BF35-134F21C63416}"/>
    <cellStyle name="Normal 8 5 2 6 3" xfId="11160" xr:uid="{59C2EDE7-28E4-402C-A001-117B48E20237}"/>
    <cellStyle name="Normal 8 5 2 7" xfId="4874" xr:uid="{00000000-0005-0000-0000-0000331E0000}"/>
    <cellStyle name="Normal 8 5 2 7 2" xfId="13313" xr:uid="{BC3411D6-B41E-4BFF-81E3-BB3BD3267610}"/>
    <cellStyle name="Normal 8 5 2 8" xfId="9095" xr:uid="{B6A09EC5-01E4-487B-A674-9A55BD80D0A3}"/>
    <cellStyle name="Normal 8 5 3" xfId="974" xr:uid="{00000000-0005-0000-0000-0000341E0000}"/>
    <cellStyle name="Normal 8 5 3 2" xfId="3208" xr:uid="{00000000-0005-0000-0000-0000351E0000}"/>
    <cellStyle name="Normal 8 5 3 2 2" xfId="7431" xr:uid="{00000000-0005-0000-0000-0000361E0000}"/>
    <cellStyle name="Normal 8 5 3 2 2 2" xfId="15870" xr:uid="{4E6617AD-B4CC-4137-ABA7-E0488343F026}"/>
    <cellStyle name="Normal 8 5 3 2 3" xfId="11652" xr:uid="{F8C9A439-EEB8-4183-9C12-F0965C291584}"/>
    <cellStyle name="Normal 8 5 3 3" xfId="5286" xr:uid="{00000000-0005-0000-0000-0000371E0000}"/>
    <cellStyle name="Normal 8 5 3 3 2" xfId="13725" xr:uid="{E3EF3A39-C0EB-4543-9CD5-E61A47C34ED2}"/>
    <cellStyle name="Normal 8 5 3 4" xfId="9507" xr:uid="{94A05771-C956-4C42-9FE7-108AFAB5D522}"/>
    <cellStyle name="Normal 8 5 4" xfId="1391" xr:uid="{00000000-0005-0000-0000-0000381E0000}"/>
    <cellStyle name="Normal 8 5 4 2" xfId="3621" xr:uid="{00000000-0005-0000-0000-0000391E0000}"/>
    <cellStyle name="Normal 8 5 4 2 2" xfId="7844" xr:uid="{00000000-0005-0000-0000-00003A1E0000}"/>
    <cellStyle name="Normal 8 5 4 2 2 2" xfId="16283" xr:uid="{B5407C94-9D1E-4E1C-A52D-29FD61D1756F}"/>
    <cellStyle name="Normal 8 5 4 2 3" xfId="12065" xr:uid="{73EDA0F9-C7BF-46BF-8A93-E95D68DEF4FF}"/>
    <cellStyle name="Normal 8 5 4 3" xfId="5699" xr:uid="{00000000-0005-0000-0000-00003B1E0000}"/>
    <cellStyle name="Normal 8 5 4 3 2" xfId="14138" xr:uid="{8DA83909-EBD4-4FC4-927A-DBE554E6E88E}"/>
    <cellStyle name="Normal 8 5 4 4" xfId="9920" xr:uid="{B34B5A05-9C62-46E8-9714-1CD7138A0F91}"/>
    <cellStyle name="Normal 8 5 5" xfId="1804" xr:uid="{00000000-0005-0000-0000-00003C1E0000}"/>
    <cellStyle name="Normal 8 5 5 2" xfId="4034" xr:uid="{00000000-0005-0000-0000-00003D1E0000}"/>
    <cellStyle name="Normal 8 5 5 2 2" xfId="8257" xr:uid="{00000000-0005-0000-0000-00003E1E0000}"/>
    <cellStyle name="Normal 8 5 5 2 2 2" xfId="16696" xr:uid="{5AA2CA2B-20DF-4B16-8445-806348C2C6D9}"/>
    <cellStyle name="Normal 8 5 5 2 3" xfId="12478" xr:uid="{F977B71F-743F-41EE-8F86-E030C945B5EE}"/>
    <cellStyle name="Normal 8 5 5 3" xfId="6112" xr:uid="{00000000-0005-0000-0000-00003F1E0000}"/>
    <cellStyle name="Normal 8 5 5 3 2" xfId="14551" xr:uid="{40036ED7-3F37-42AC-A768-C3080687DC80}"/>
    <cellStyle name="Normal 8 5 5 4" xfId="10333" xr:uid="{5AE56E27-2028-4F9B-8421-3E0101E73182}"/>
    <cellStyle name="Normal 8 5 6" xfId="2218" xr:uid="{00000000-0005-0000-0000-0000401E0000}"/>
    <cellStyle name="Normal 8 5 6 2" xfId="4447" xr:uid="{00000000-0005-0000-0000-0000411E0000}"/>
    <cellStyle name="Normal 8 5 6 2 2" xfId="8670" xr:uid="{00000000-0005-0000-0000-0000421E0000}"/>
    <cellStyle name="Normal 8 5 6 2 2 2" xfId="17109" xr:uid="{D185A49B-89C2-4A20-80DD-AD31F79A4FF4}"/>
    <cellStyle name="Normal 8 5 6 2 3" xfId="12891" xr:uid="{08698486-12A2-4BA2-9A2D-034646617C13}"/>
    <cellStyle name="Normal 8 5 6 3" xfId="6525" xr:uid="{00000000-0005-0000-0000-0000431E0000}"/>
    <cellStyle name="Normal 8 5 6 3 2" xfId="14964" xr:uid="{3FADA325-D11D-423B-BC05-EA50D22497C2}"/>
    <cellStyle name="Normal 8 5 6 4" xfId="10746" xr:uid="{24EC3E02-5D08-47A4-A669-1FC7C3913FA2}"/>
    <cellStyle name="Normal 8 5 7" xfId="2654" xr:uid="{00000000-0005-0000-0000-0000441E0000}"/>
    <cellStyle name="Normal 8 5 7 2" xfId="6938" xr:uid="{00000000-0005-0000-0000-0000451E0000}"/>
    <cellStyle name="Normal 8 5 7 2 2" xfId="15377" xr:uid="{E5CE38AC-25DF-4CA5-B1B1-01771BC44083}"/>
    <cellStyle name="Normal 8 5 7 3" xfId="11159" xr:uid="{C2CFE408-430D-4CBD-B63B-E3B36B7C108C}"/>
    <cellStyle name="Normal 8 5 8" xfId="4873" xr:uid="{00000000-0005-0000-0000-0000461E0000}"/>
    <cellStyle name="Normal 8 5 8 2" xfId="13312" xr:uid="{085C91D1-19CF-4624-96CE-77FE61849916}"/>
    <cellStyle name="Normal 8 5 9" xfId="9094" xr:uid="{4C251D24-F66C-4DDA-81A2-CA7C49F650DC}"/>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8E1C6D43-AD71-4D5F-A134-16B8DE0922FC}"/>
    <cellStyle name="Normal 8 6 2 2 3" xfId="11654" xr:uid="{4DDB1EC4-544C-4729-9AE8-A6447D841D74}"/>
    <cellStyle name="Normal 8 6 2 3" xfId="5288" xr:uid="{00000000-0005-0000-0000-00004B1E0000}"/>
    <cellStyle name="Normal 8 6 2 3 2" xfId="13727" xr:uid="{7B016C5A-F33D-44E0-B086-E0C29C97F88D}"/>
    <cellStyle name="Normal 8 6 2 4" xfId="9509" xr:uid="{A9BE0450-DC20-4317-8DDA-0D844B9B4FD9}"/>
    <cellStyle name="Normal 8 6 3" xfId="1393" xr:uid="{00000000-0005-0000-0000-00004C1E0000}"/>
    <cellStyle name="Normal 8 6 3 2" xfId="3623" xr:uid="{00000000-0005-0000-0000-00004D1E0000}"/>
    <cellStyle name="Normal 8 6 3 2 2" xfId="7846" xr:uid="{00000000-0005-0000-0000-00004E1E0000}"/>
    <cellStyle name="Normal 8 6 3 2 2 2" xfId="16285" xr:uid="{1751C162-4E1F-4DD6-8F32-A0F8FB59A7A9}"/>
    <cellStyle name="Normal 8 6 3 2 3" xfId="12067" xr:uid="{0F827034-8DCF-4F1A-98C7-C7A38A305AA0}"/>
    <cellStyle name="Normal 8 6 3 3" xfId="5701" xr:uid="{00000000-0005-0000-0000-00004F1E0000}"/>
    <cellStyle name="Normal 8 6 3 3 2" xfId="14140" xr:uid="{C52BD62E-157A-4932-80E3-4AAF82009BCE}"/>
    <cellStyle name="Normal 8 6 3 4" xfId="9922" xr:uid="{94A19417-D641-4685-86DE-A3204BE35A01}"/>
    <cellStyle name="Normal 8 6 4" xfId="1806" xr:uid="{00000000-0005-0000-0000-0000501E0000}"/>
    <cellStyle name="Normal 8 6 4 2" xfId="4036" xr:uid="{00000000-0005-0000-0000-0000511E0000}"/>
    <cellStyle name="Normal 8 6 4 2 2" xfId="8259" xr:uid="{00000000-0005-0000-0000-0000521E0000}"/>
    <cellStyle name="Normal 8 6 4 2 2 2" xfId="16698" xr:uid="{8C564CAC-80AE-409B-A6D1-287E54926BF5}"/>
    <cellStyle name="Normal 8 6 4 2 3" xfId="12480" xr:uid="{EA460A32-5038-4916-BFF5-EEDFA44D7EFD}"/>
    <cellStyle name="Normal 8 6 4 3" xfId="6114" xr:uid="{00000000-0005-0000-0000-0000531E0000}"/>
    <cellStyle name="Normal 8 6 4 3 2" xfId="14553" xr:uid="{B2B98D59-7BCF-4174-B1D4-D194264B6BF8}"/>
    <cellStyle name="Normal 8 6 4 4" xfId="10335" xr:uid="{A29EA9D7-9EFB-406C-A297-EFFEA20F0759}"/>
    <cellStyle name="Normal 8 6 5" xfId="2220" xr:uid="{00000000-0005-0000-0000-0000541E0000}"/>
    <cellStyle name="Normal 8 6 5 2" xfId="4449" xr:uid="{00000000-0005-0000-0000-0000551E0000}"/>
    <cellStyle name="Normal 8 6 5 2 2" xfId="8672" xr:uid="{00000000-0005-0000-0000-0000561E0000}"/>
    <cellStyle name="Normal 8 6 5 2 2 2" xfId="17111" xr:uid="{2689C188-225D-49FF-9009-7276343A0FC4}"/>
    <cellStyle name="Normal 8 6 5 2 3" xfId="12893" xr:uid="{F8AE07B6-040D-4EBA-8A20-E830D32EB4AA}"/>
    <cellStyle name="Normal 8 6 5 3" xfId="6527" xr:uid="{00000000-0005-0000-0000-0000571E0000}"/>
    <cellStyle name="Normal 8 6 5 3 2" xfId="14966" xr:uid="{D498A8E9-EB5E-4D3C-88F4-C0C1B504FDC8}"/>
    <cellStyle name="Normal 8 6 5 4" xfId="10748" xr:uid="{524D5B28-6175-4F54-8B15-F05CBD413B6A}"/>
    <cellStyle name="Normal 8 6 6" xfId="2656" xr:uid="{00000000-0005-0000-0000-0000581E0000}"/>
    <cellStyle name="Normal 8 6 6 2" xfId="6940" xr:uid="{00000000-0005-0000-0000-0000591E0000}"/>
    <cellStyle name="Normal 8 6 6 2 2" xfId="15379" xr:uid="{CFB34031-6B60-4BC2-AB25-BD65167BB540}"/>
    <cellStyle name="Normal 8 6 6 3" xfId="11161" xr:uid="{1ABE9CAC-A6A0-466C-B96F-B15CC88A4580}"/>
    <cellStyle name="Normal 8 6 7" xfId="4875" xr:uid="{00000000-0005-0000-0000-00005A1E0000}"/>
    <cellStyle name="Normal 8 6 7 2" xfId="13314" xr:uid="{4CCAA3B6-5C8A-4BDD-A9E5-4EB86049E905}"/>
    <cellStyle name="Normal 8 6 8" xfId="9096" xr:uid="{39DD68C4-FA63-421F-8A66-D4E00228F89B}"/>
    <cellStyle name="Normal 8 7" xfId="945" xr:uid="{00000000-0005-0000-0000-00005B1E0000}"/>
    <cellStyle name="Normal 8 7 2" xfId="3179" xr:uid="{00000000-0005-0000-0000-00005C1E0000}"/>
    <cellStyle name="Normal 8 7 2 2" xfId="7402" xr:uid="{00000000-0005-0000-0000-00005D1E0000}"/>
    <cellStyle name="Normal 8 7 2 2 2" xfId="15841" xr:uid="{F28BCB46-7A56-4232-945E-78D316994838}"/>
    <cellStyle name="Normal 8 7 2 3" xfId="11623" xr:uid="{A04984BE-843A-486E-B18C-2949711F6F99}"/>
    <cellStyle name="Normal 8 7 3" xfId="5257" xr:uid="{00000000-0005-0000-0000-00005E1E0000}"/>
    <cellStyle name="Normal 8 7 3 2" xfId="13696" xr:uid="{549DCBB6-BFA8-46A1-9AA3-E756267A148D}"/>
    <cellStyle name="Normal 8 7 4" xfId="9478" xr:uid="{D4D44048-4879-48AB-A853-862D19C02021}"/>
    <cellStyle name="Normal 8 8" xfId="1362" xr:uid="{00000000-0005-0000-0000-00005F1E0000}"/>
    <cellStyle name="Normal 8 8 2" xfId="3592" xr:uid="{00000000-0005-0000-0000-0000601E0000}"/>
    <cellStyle name="Normal 8 8 2 2" xfId="7815" xr:uid="{00000000-0005-0000-0000-0000611E0000}"/>
    <cellStyle name="Normal 8 8 2 2 2" xfId="16254" xr:uid="{6A0B5744-677D-4ECF-A27B-F7D3704DA5AF}"/>
    <cellStyle name="Normal 8 8 2 3" xfId="12036" xr:uid="{7EA38C57-17C0-4206-810C-9867B8B17E3D}"/>
    <cellStyle name="Normal 8 8 3" xfId="5670" xr:uid="{00000000-0005-0000-0000-0000621E0000}"/>
    <cellStyle name="Normal 8 8 3 2" xfId="14109" xr:uid="{C7A8EAEF-7F87-4FD1-B38D-00CF9DD2E86C}"/>
    <cellStyle name="Normal 8 8 4" xfId="9891" xr:uid="{EAD2D07B-D781-4E7F-B0B3-D997F62F7F88}"/>
    <cellStyle name="Normal 8 9" xfId="1775" xr:uid="{00000000-0005-0000-0000-0000631E0000}"/>
    <cellStyle name="Normal 8 9 2" xfId="4005" xr:uid="{00000000-0005-0000-0000-0000641E0000}"/>
    <cellStyle name="Normal 8 9 2 2" xfId="8228" xr:uid="{00000000-0005-0000-0000-0000651E0000}"/>
    <cellStyle name="Normal 8 9 2 2 2" xfId="16667" xr:uid="{8C373785-6520-4F96-9D07-AB5EAD7C33E6}"/>
    <cellStyle name="Normal 8 9 2 3" xfId="12449" xr:uid="{D805A01A-1056-46F5-A154-9BDE7292C37F}"/>
    <cellStyle name="Normal 8 9 3" xfId="6083" xr:uid="{00000000-0005-0000-0000-0000661E0000}"/>
    <cellStyle name="Normal 8 9 3 2" xfId="14522" xr:uid="{BCE4166B-5A1D-4165-9169-0471CE9E0F9E}"/>
    <cellStyle name="Normal 8 9 4" xfId="10304" xr:uid="{DF6E3803-2FC9-4DC4-8412-A8E2FCC1BB76}"/>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95F9F7EF-9B3E-4033-9060-D05990F816AD}"/>
    <cellStyle name="Normal 9 2 10 3" xfId="11162" xr:uid="{38BD2494-756B-48D3-A800-4AE21721F18E}"/>
    <cellStyle name="Normal 9 2 11" xfId="4876" xr:uid="{00000000-0005-0000-0000-00006B1E0000}"/>
    <cellStyle name="Normal 9 2 11 2" xfId="13315" xr:uid="{C1DCEE99-7228-4C12-8F18-591E20617B4F}"/>
    <cellStyle name="Normal 9 2 12" xfId="9097" xr:uid="{79EF28E1-84EB-41F4-95DF-75452297ABD3}"/>
    <cellStyle name="Normal 9 2 2" xfId="512" xr:uid="{00000000-0005-0000-0000-00006C1E0000}"/>
    <cellStyle name="Normal 9 2 2 10" xfId="4877" xr:uid="{00000000-0005-0000-0000-00006D1E0000}"/>
    <cellStyle name="Normal 9 2 2 10 2" xfId="13316" xr:uid="{B9C3E4EB-C74A-4509-8B94-46B455BB5FFF}"/>
    <cellStyle name="Normal 9 2 2 11" xfId="9098" xr:uid="{80D117ED-FC65-42C0-9E7D-4718756237DB}"/>
    <cellStyle name="Normal 9 2 2 2" xfId="513" xr:uid="{00000000-0005-0000-0000-00006E1E0000}"/>
    <cellStyle name="Normal 9 2 2 2 10" xfId="9099" xr:uid="{614D4311-0E79-4704-8A08-0BE7E04A567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C1A49340-0313-4481-BD17-435B7B5FB113}"/>
    <cellStyle name="Normal 9 2 2 2 2 2 2 2 3" xfId="11659" xr:uid="{B727A761-0CD4-4E23-9769-28FB12744FA4}"/>
    <cellStyle name="Normal 9 2 2 2 2 2 2 3" xfId="5293" xr:uid="{00000000-0005-0000-0000-0000741E0000}"/>
    <cellStyle name="Normal 9 2 2 2 2 2 2 3 2" xfId="13732" xr:uid="{DB64F35E-3630-4465-BBE6-786E13E1C23A}"/>
    <cellStyle name="Normal 9 2 2 2 2 2 2 4" xfId="9514" xr:uid="{CC3627D7-D63A-4ABE-B6F2-2361653C24B4}"/>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B7F115BD-08F3-458F-AF6F-11CA61AE804B}"/>
    <cellStyle name="Normal 9 2 2 2 2 2 3 2 3" xfId="12072" xr:uid="{1AE1C6EE-873E-4FE6-B71A-464DB26C9DEE}"/>
    <cellStyle name="Normal 9 2 2 2 2 2 3 3" xfId="5706" xr:uid="{00000000-0005-0000-0000-0000781E0000}"/>
    <cellStyle name="Normal 9 2 2 2 2 2 3 3 2" xfId="14145" xr:uid="{A5C3E756-B42C-4FB2-A7DE-D2832AB412CA}"/>
    <cellStyle name="Normal 9 2 2 2 2 2 3 4" xfId="9927" xr:uid="{2A1A098C-3AF9-43D2-AA2E-8E3D3B1EE519}"/>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84399D81-2316-40C4-B5A8-C36FDD40DD0B}"/>
    <cellStyle name="Normal 9 2 2 2 2 2 4 2 3" xfId="12485" xr:uid="{AEC723F7-A499-4CEE-A1CE-F84021F56D6C}"/>
    <cellStyle name="Normal 9 2 2 2 2 2 4 3" xfId="6119" xr:uid="{00000000-0005-0000-0000-00007C1E0000}"/>
    <cellStyle name="Normal 9 2 2 2 2 2 4 3 2" xfId="14558" xr:uid="{9F1E3F13-C5A5-467D-B2F5-E5259AEE7BF5}"/>
    <cellStyle name="Normal 9 2 2 2 2 2 4 4" xfId="10340" xr:uid="{E8A8D2A8-0820-46D2-AB73-CD599399C28F}"/>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812C8C0A-61D5-4FFD-B353-F37E7FB0E537}"/>
    <cellStyle name="Normal 9 2 2 2 2 2 5 2 3" xfId="12898" xr:uid="{984AD637-5725-43D9-A5EA-77BC3D7A4307}"/>
    <cellStyle name="Normal 9 2 2 2 2 2 5 3" xfId="6532" xr:uid="{00000000-0005-0000-0000-0000801E0000}"/>
    <cellStyle name="Normal 9 2 2 2 2 2 5 3 2" xfId="14971" xr:uid="{01EC82E4-5CEA-43AA-9076-51715BDCA783}"/>
    <cellStyle name="Normal 9 2 2 2 2 2 5 4" xfId="10753" xr:uid="{04919D5D-3376-486F-9DAE-03F85768485E}"/>
    <cellStyle name="Normal 9 2 2 2 2 2 6" xfId="2661" xr:uid="{00000000-0005-0000-0000-0000811E0000}"/>
    <cellStyle name="Normal 9 2 2 2 2 2 6 2" xfId="6945" xr:uid="{00000000-0005-0000-0000-0000821E0000}"/>
    <cellStyle name="Normal 9 2 2 2 2 2 6 2 2" xfId="15384" xr:uid="{B88D3A91-D125-4728-B4C2-E4B7D960BA2F}"/>
    <cellStyle name="Normal 9 2 2 2 2 2 6 3" xfId="11166" xr:uid="{DA4036C2-41AB-43C5-B928-487BCF2CB3AC}"/>
    <cellStyle name="Normal 9 2 2 2 2 2 7" xfId="4880" xr:uid="{00000000-0005-0000-0000-0000831E0000}"/>
    <cellStyle name="Normal 9 2 2 2 2 2 7 2" xfId="13319" xr:uid="{36728A91-6837-4AE7-9399-E7F434C0D130}"/>
    <cellStyle name="Normal 9 2 2 2 2 2 8" xfId="9101" xr:uid="{77C63EE9-0083-4F35-B70E-9FCB54B3E4B5}"/>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E9AFFF64-0002-435E-ABC7-F651962A5B05}"/>
    <cellStyle name="Normal 9 2 2 2 2 3 2 3" xfId="11658" xr:uid="{CCCBE927-1427-4D20-BCA7-2627878104FB}"/>
    <cellStyle name="Normal 9 2 2 2 2 3 3" xfId="5292" xr:uid="{00000000-0005-0000-0000-0000871E0000}"/>
    <cellStyle name="Normal 9 2 2 2 2 3 3 2" xfId="13731" xr:uid="{6B1689CE-E17B-4492-BED3-25B07A983C04}"/>
    <cellStyle name="Normal 9 2 2 2 2 3 4" xfId="9513" xr:uid="{A14EB88F-A5B5-4011-8B62-7E768A14E40D}"/>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9B059E12-631B-4914-B596-FF58E1171C1A}"/>
    <cellStyle name="Normal 9 2 2 2 2 4 2 3" xfId="12071" xr:uid="{69199574-4CC9-4573-BE24-A0CB0737F039}"/>
    <cellStyle name="Normal 9 2 2 2 2 4 3" xfId="5705" xr:uid="{00000000-0005-0000-0000-00008B1E0000}"/>
    <cellStyle name="Normal 9 2 2 2 2 4 3 2" xfId="14144" xr:uid="{9AE4D6DE-434E-4206-8991-11AF54A2527B}"/>
    <cellStyle name="Normal 9 2 2 2 2 4 4" xfId="9926" xr:uid="{CD5393DF-AEB4-4639-8F03-D0FAED78D71F}"/>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20D092A3-2D55-4119-AF80-7FA6CE4BF458}"/>
    <cellStyle name="Normal 9 2 2 2 2 5 2 3" xfId="12484" xr:uid="{111DFF2F-7E99-42BE-9674-EA01A0D5DA58}"/>
    <cellStyle name="Normal 9 2 2 2 2 5 3" xfId="6118" xr:uid="{00000000-0005-0000-0000-00008F1E0000}"/>
    <cellStyle name="Normal 9 2 2 2 2 5 3 2" xfId="14557" xr:uid="{A07FF0AD-C511-46CE-8E7F-718A05F64F4B}"/>
    <cellStyle name="Normal 9 2 2 2 2 5 4" xfId="10339" xr:uid="{51ADAE93-5414-4BF3-81F9-C3F5730A726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48599613-2387-4526-BADA-DD4909665FE3}"/>
    <cellStyle name="Normal 9 2 2 2 2 6 2 3" xfId="12897" xr:uid="{D4814A3D-62BF-4B67-8423-D718EA728712}"/>
    <cellStyle name="Normal 9 2 2 2 2 6 3" xfId="6531" xr:uid="{00000000-0005-0000-0000-0000931E0000}"/>
    <cellStyle name="Normal 9 2 2 2 2 6 3 2" xfId="14970" xr:uid="{5F3177EC-379F-443A-AD07-04CDCF9CBEDE}"/>
    <cellStyle name="Normal 9 2 2 2 2 6 4" xfId="10752" xr:uid="{7E5F3FA8-07C4-423E-A009-6F49FECE74C6}"/>
    <cellStyle name="Normal 9 2 2 2 2 7" xfId="2660" xr:uid="{00000000-0005-0000-0000-0000941E0000}"/>
    <cellStyle name="Normal 9 2 2 2 2 7 2" xfId="6944" xr:uid="{00000000-0005-0000-0000-0000951E0000}"/>
    <cellStyle name="Normal 9 2 2 2 2 7 2 2" xfId="15383" xr:uid="{AC70D4D0-3CA9-414E-99B2-2854B8C7E76E}"/>
    <cellStyle name="Normal 9 2 2 2 2 7 3" xfId="11165" xr:uid="{143DFC1D-6AEB-4683-98E4-CCFA6348C609}"/>
    <cellStyle name="Normal 9 2 2 2 2 8" xfId="4879" xr:uid="{00000000-0005-0000-0000-0000961E0000}"/>
    <cellStyle name="Normal 9 2 2 2 2 8 2" xfId="13318" xr:uid="{B78DB1D8-4F5F-466A-9AB2-0FE179E2C4F0}"/>
    <cellStyle name="Normal 9 2 2 2 2 9" xfId="9100" xr:uid="{8113F21D-43E8-456D-9B38-EFE8A8DA771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2CDC8F1C-9334-4D62-A059-329170739D66}"/>
    <cellStyle name="Normal 9 2 2 2 3 2 2 3" xfId="11660" xr:uid="{57088AA9-FC54-48D5-AC6B-F2B221958F73}"/>
    <cellStyle name="Normal 9 2 2 2 3 2 3" xfId="5294" xr:uid="{00000000-0005-0000-0000-00009B1E0000}"/>
    <cellStyle name="Normal 9 2 2 2 3 2 3 2" xfId="13733" xr:uid="{5111808D-7EA2-4A9D-8B89-18DF2011D3C8}"/>
    <cellStyle name="Normal 9 2 2 2 3 2 4" xfId="9515" xr:uid="{FFBC2AFD-6264-47C4-940A-9448B8ABBED6}"/>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528B9781-D196-48CD-AE4D-B63EFBF8695B}"/>
    <cellStyle name="Normal 9 2 2 2 3 3 2 3" xfId="12073" xr:uid="{05F76AF1-5010-43EE-959D-8ACDABC326AB}"/>
    <cellStyle name="Normal 9 2 2 2 3 3 3" xfId="5707" xr:uid="{00000000-0005-0000-0000-00009F1E0000}"/>
    <cellStyle name="Normal 9 2 2 2 3 3 3 2" xfId="14146" xr:uid="{D10FF5B0-4617-4B1D-8D23-135B667EA189}"/>
    <cellStyle name="Normal 9 2 2 2 3 3 4" xfId="9928" xr:uid="{63BA5F14-D73F-45F7-8734-B111D0CB5FDC}"/>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CC4BCFF3-9B11-42F4-93E6-E32D79E2248E}"/>
    <cellStyle name="Normal 9 2 2 2 3 4 2 3" xfId="12486" xr:uid="{215C5CA3-BFD8-4D04-9946-9CC8AF565192}"/>
    <cellStyle name="Normal 9 2 2 2 3 4 3" xfId="6120" xr:uid="{00000000-0005-0000-0000-0000A31E0000}"/>
    <cellStyle name="Normal 9 2 2 2 3 4 3 2" xfId="14559" xr:uid="{94E4C82C-1355-4356-A0FC-0BCFEDDA9193}"/>
    <cellStyle name="Normal 9 2 2 2 3 4 4" xfId="10341" xr:uid="{BF035C0B-0F22-4DB9-BB88-295C3610AC4C}"/>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95D5A08D-D500-4D2A-8B3A-73927445BBF5}"/>
    <cellStyle name="Normal 9 2 2 2 3 5 2 3" xfId="12899" xr:uid="{E5F05834-B0AC-401A-946C-E667B3AA7869}"/>
    <cellStyle name="Normal 9 2 2 2 3 5 3" xfId="6533" xr:uid="{00000000-0005-0000-0000-0000A71E0000}"/>
    <cellStyle name="Normal 9 2 2 2 3 5 3 2" xfId="14972" xr:uid="{124D7B0A-8848-4F86-9EF9-A4EED1FD6B56}"/>
    <cellStyle name="Normal 9 2 2 2 3 5 4" xfId="10754" xr:uid="{A7F8C205-6EC5-4678-846C-EE3261B997F5}"/>
    <cellStyle name="Normal 9 2 2 2 3 6" xfId="2662" xr:uid="{00000000-0005-0000-0000-0000A81E0000}"/>
    <cellStyle name="Normal 9 2 2 2 3 6 2" xfId="6946" xr:uid="{00000000-0005-0000-0000-0000A91E0000}"/>
    <cellStyle name="Normal 9 2 2 2 3 6 2 2" xfId="15385" xr:uid="{055CD8F0-F9BB-4C81-A536-B7FC3C7CF1C3}"/>
    <cellStyle name="Normal 9 2 2 2 3 6 3" xfId="11167" xr:uid="{C2855DB9-8D37-41C5-9EC8-7E3A3713A1B4}"/>
    <cellStyle name="Normal 9 2 2 2 3 7" xfId="4881" xr:uid="{00000000-0005-0000-0000-0000AA1E0000}"/>
    <cellStyle name="Normal 9 2 2 2 3 7 2" xfId="13320" xr:uid="{AE8210D4-4393-4B0E-8264-A499FB6CA4EE}"/>
    <cellStyle name="Normal 9 2 2 2 3 8" xfId="9102" xr:uid="{0E6C4643-168C-4EB7-B31E-05987E8CCB73}"/>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9E14B457-61FF-4391-BA69-CA1093430A21}"/>
    <cellStyle name="Normal 9 2 2 2 4 2 3" xfId="11657" xr:uid="{0532DE8C-19AA-46A5-AA0C-C83A4F123497}"/>
    <cellStyle name="Normal 9 2 2 2 4 3" xfId="5291" xr:uid="{00000000-0005-0000-0000-0000AE1E0000}"/>
    <cellStyle name="Normal 9 2 2 2 4 3 2" xfId="13730" xr:uid="{EC6D465F-A4A5-4C9E-A3F6-F395783F339E}"/>
    <cellStyle name="Normal 9 2 2 2 4 4" xfId="9512" xr:uid="{3DE0C2F5-4FE2-496E-8675-9572660AB518}"/>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0FE10E0D-7EAB-4B01-A535-EAED6A84DB77}"/>
    <cellStyle name="Normal 9 2 2 2 5 2 3" xfId="12070" xr:uid="{94895C36-4C04-40DD-B1BF-247E0E2E731D}"/>
    <cellStyle name="Normal 9 2 2 2 5 3" xfId="5704" xr:uid="{00000000-0005-0000-0000-0000B21E0000}"/>
    <cellStyle name="Normal 9 2 2 2 5 3 2" xfId="14143" xr:uid="{5341BEB2-017F-486C-B29E-26444003F1D9}"/>
    <cellStyle name="Normal 9 2 2 2 5 4" xfId="9925" xr:uid="{1C6B0F93-3323-4AB6-BC3F-440F0456CF7C}"/>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7A2A3099-2C0F-4C34-B6C2-06BE55DE8F5B}"/>
    <cellStyle name="Normal 9 2 2 2 6 2 3" xfId="12483" xr:uid="{4F451D2A-A6A6-49DE-94B5-352F021ED5F4}"/>
    <cellStyle name="Normal 9 2 2 2 6 3" xfId="6117" xr:uid="{00000000-0005-0000-0000-0000B61E0000}"/>
    <cellStyle name="Normal 9 2 2 2 6 3 2" xfId="14556" xr:uid="{8EF0D179-6DF5-4F61-A081-C4F29FA41189}"/>
    <cellStyle name="Normal 9 2 2 2 6 4" xfId="10338" xr:uid="{24671686-0121-40E5-836D-ACBCAB4D674A}"/>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C2C77362-5A1A-4B70-B2F8-EE4C75438327}"/>
    <cellStyle name="Normal 9 2 2 2 7 2 3" xfId="12896" xr:uid="{1DBC4B18-C50F-4C40-9504-2109BF3C1814}"/>
    <cellStyle name="Normal 9 2 2 2 7 3" xfId="6530" xr:uid="{00000000-0005-0000-0000-0000BA1E0000}"/>
    <cellStyle name="Normal 9 2 2 2 7 3 2" xfId="14969" xr:uid="{6E3E4276-109B-4BAA-B4B6-147C98F9AA27}"/>
    <cellStyle name="Normal 9 2 2 2 7 4" xfId="10751" xr:uid="{D38086B2-DA46-489A-B15C-37738BA7453E}"/>
    <cellStyle name="Normal 9 2 2 2 8" xfId="2659" xr:uid="{00000000-0005-0000-0000-0000BB1E0000}"/>
    <cellStyle name="Normal 9 2 2 2 8 2" xfId="6943" xr:uid="{00000000-0005-0000-0000-0000BC1E0000}"/>
    <cellStyle name="Normal 9 2 2 2 8 2 2" xfId="15382" xr:uid="{A5B10DDC-8190-453C-81BC-24272EF00143}"/>
    <cellStyle name="Normal 9 2 2 2 8 3" xfId="11164" xr:uid="{6F48F796-99BD-4E38-ABDA-EFF0406902CE}"/>
    <cellStyle name="Normal 9 2 2 2 9" xfId="4878" xr:uid="{00000000-0005-0000-0000-0000BD1E0000}"/>
    <cellStyle name="Normal 9 2 2 2 9 2" xfId="13317" xr:uid="{F775D2BD-158E-4DFF-97FC-8993274A72B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8DB4241C-5C10-44C7-A392-C8216D483825}"/>
    <cellStyle name="Normal 9 2 2 3 2 2 2 3" xfId="11662" xr:uid="{AF5C781C-B92D-4EB2-9A59-C8F2D0ADBA58}"/>
    <cellStyle name="Normal 9 2 2 3 2 2 3" xfId="5296" xr:uid="{00000000-0005-0000-0000-0000C31E0000}"/>
    <cellStyle name="Normal 9 2 2 3 2 2 3 2" xfId="13735" xr:uid="{22E403C3-A119-48C3-9D35-65FE8A33158A}"/>
    <cellStyle name="Normal 9 2 2 3 2 2 4" xfId="9517" xr:uid="{86D99639-A21A-45F6-9D8A-EE94F2953BBC}"/>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D6C081A8-2DEA-4D2E-B3AC-DD37D6A89A6A}"/>
    <cellStyle name="Normal 9 2 2 3 2 3 2 3" xfId="12075" xr:uid="{B3E9328F-548C-4DC8-8968-0A9B08C91FF2}"/>
    <cellStyle name="Normal 9 2 2 3 2 3 3" xfId="5709" xr:uid="{00000000-0005-0000-0000-0000C71E0000}"/>
    <cellStyle name="Normal 9 2 2 3 2 3 3 2" xfId="14148" xr:uid="{05789A17-8EA9-4ED6-A23A-0771076894CD}"/>
    <cellStyle name="Normal 9 2 2 3 2 3 4" xfId="9930" xr:uid="{A5BBC00D-B906-42FD-972C-53B9E8E68B3F}"/>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A88C5EDC-8CA6-4312-9DC5-384D2F778B7E}"/>
    <cellStyle name="Normal 9 2 2 3 2 4 2 3" xfId="12488" xr:uid="{E3D23276-CC83-4464-8AD5-3CA17F85814A}"/>
    <cellStyle name="Normal 9 2 2 3 2 4 3" xfId="6122" xr:uid="{00000000-0005-0000-0000-0000CB1E0000}"/>
    <cellStyle name="Normal 9 2 2 3 2 4 3 2" xfId="14561" xr:uid="{C7372968-716B-447B-9DE5-297BEE4113C1}"/>
    <cellStyle name="Normal 9 2 2 3 2 4 4" xfId="10343" xr:uid="{FE169021-A09A-4514-ADA1-59FA0616D45C}"/>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2E0A40BE-7B1A-473C-A158-D1E8E858CA19}"/>
    <cellStyle name="Normal 9 2 2 3 2 5 2 3" xfId="12901" xr:uid="{8941D782-22AF-47AF-B2C0-F11D85710582}"/>
    <cellStyle name="Normal 9 2 2 3 2 5 3" xfId="6535" xr:uid="{00000000-0005-0000-0000-0000CF1E0000}"/>
    <cellStyle name="Normal 9 2 2 3 2 5 3 2" xfId="14974" xr:uid="{FF5A62DA-E6C5-4163-8E7D-5B2DC2756D5E}"/>
    <cellStyle name="Normal 9 2 2 3 2 5 4" xfId="10756" xr:uid="{59F0FA3D-578C-435C-B3D6-A484C591D5AA}"/>
    <cellStyle name="Normal 9 2 2 3 2 6" xfId="2664" xr:uid="{00000000-0005-0000-0000-0000D01E0000}"/>
    <cellStyle name="Normal 9 2 2 3 2 6 2" xfId="6948" xr:uid="{00000000-0005-0000-0000-0000D11E0000}"/>
    <cellStyle name="Normal 9 2 2 3 2 6 2 2" xfId="15387" xr:uid="{7AF63241-A1C6-4CA4-9445-429810E42B11}"/>
    <cellStyle name="Normal 9 2 2 3 2 6 3" xfId="11169" xr:uid="{85A4BEF5-B250-414E-9B98-472919A35C63}"/>
    <cellStyle name="Normal 9 2 2 3 2 7" xfId="4883" xr:uid="{00000000-0005-0000-0000-0000D21E0000}"/>
    <cellStyle name="Normal 9 2 2 3 2 7 2" xfId="13322" xr:uid="{FC4C8D9F-2C92-4B27-A3C9-2FF32F12F1A5}"/>
    <cellStyle name="Normal 9 2 2 3 2 8" xfId="9104" xr:uid="{B1F39717-9E2E-4440-940B-5679413D8F0E}"/>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C4938D5F-29E3-49C3-8127-0057348A2BA1}"/>
    <cellStyle name="Normal 9 2 2 3 3 2 3" xfId="11661" xr:uid="{B1D2C145-A873-4F92-8305-758EC6CA5C29}"/>
    <cellStyle name="Normal 9 2 2 3 3 3" xfId="5295" xr:uid="{00000000-0005-0000-0000-0000D61E0000}"/>
    <cellStyle name="Normal 9 2 2 3 3 3 2" xfId="13734" xr:uid="{F1A2012F-B17F-4F4B-AB65-34FF5936F804}"/>
    <cellStyle name="Normal 9 2 2 3 3 4" xfId="9516" xr:uid="{26652886-D88C-4666-8AC3-12C9AE34EF9C}"/>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D3826436-E538-4AB6-BF13-745AE0C4A642}"/>
    <cellStyle name="Normal 9 2 2 3 4 2 3" xfId="12074" xr:uid="{BA6382F9-FB18-493E-9A41-0CCE40D1339F}"/>
    <cellStyle name="Normal 9 2 2 3 4 3" xfId="5708" xr:uid="{00000000-0005-0000-0000-0000DA1E0000}"/>
    <cellStyle name="Normal 9 2 2 3 4 3 2" xfId="14147" xr:uid="{ECC208AC-A508-4982-B383-E3DFCA3884E6}"/>
    <cellStyle name="Normal 9 2 2 3 4 4" xfId="9929" xr:uid="{51FDB0AC-0406-4343-9620-85EA4AF95627}"/>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82CCFF85-9A3E-4AFA-934E-1DA5BED9BAC6}"/>
    <cellStyle name="Normal 9 2 2 3 5 2 3" xfId="12487" xr:uid="{D06DBE6C-C648-41C5-BBAE-E05142722B59}"/>
    <cellStyle name="Normal 9 2 2 3 5 3" xfId="6121" xr:uid="{00000000-0005-0000-0000-0000DE1E0000}"/>
    <cellStyle name="Normal 9 2 2 3 5 3 2" xfId="14560" xr:uid="{3753555F-69AE-4D3C-A6B5-C97090B274F4}"/>
    <cellStyle name="Normal 9 2 2 3 5 4" xfId="10342" xr:uid="{E2094BB4-BEEB-4F75-8C7C-BA22A42ED82A}"/>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27928D4B-5F71-4B2C-B511-DD85DE593FE5}"/>
    <cellStyle name="Normal 9 2 2 3 6 2 3" xfId="12900" xr:uid="{3F0D0322-C1BC-4CEB-B000-CDC30045DC4B}"/>
    <cellStyle name="Normal 9 2 2 3 6 3" xfId="6534" xr:uid="{00000000-0005-0000-0000-0000E21E0000}"/>
    <cellStyle name="Normal 9 2 2 3 6 3 2" xfId="14973" xr:uid="{5AAF9551-8C7E-4DDA-847D-C66A89FF03AE}"/>
    <cellStyle name="Normal 9 2 2 3 6 4" xfId="10755" xr:uid="{908A7EE5-AADC-41D2-8E9D-4BDE76ADE3BC}"/>
    <cellStyle name="Normal 9 2 2 3 7" xfId="2663" xr:uid="{00000000-0005-0000-0000-0000E31E0000}"/>
    <cellStyle name="Normal 9 2 2 3 7 2" xfId="6947" xr:uid="{00000000-0005-0000-0000-0000E41E0000}"/>
    <cellStyle name="Normal 9 2 2 3 7 2 2" xfId="15386" xr:uid="{56A9E7FF-2900-405A-8D53-AEDC57817E12}"/>
    <cellStyle name="Normal 9 2 2 3 7 3" xfId="11168" xr:uid="{E155A3BB-5015-484C-8795-C81DA9A4B437}"/>
    <cellStyle name="Normal 9 2 2 3 8" xfId="4882" xr:uid="{00000000-0005-0000-0000-0000E51E0000}"/>
    <cellStyle name="Normal 9 2 2 3 8 2" xfId="13321" xr:uid="{B83A60D2-C3AF-4507-94D2-2C347CE9A022}"/>
    <cellStyle name="Normal 9 2 2 3 9" xfId="9103" xr:uid="{89A06FFF-3328-4132-B782-D4C575139AFF}"/>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E7A063B0-A2D1-49C7-B487-492583AEB61D}"/>
    <cellStyle name="Normal 9 2 2 4 2 2 3" xfId="11663" xr:uid="{B02202B5-E8CF-42DA-98F5-C8FD49A49F31}"/>
    <cellStyle name="Normal 9 2 2 4 2 3" xfId="5297" xr:uid="{00000000-0005-0000-0000-0000EA1E0000}"/>
    <cellStyle name="Normal 9 2 2 4 2 3 2" xfId="13736" xr:uid="{6EB9E88D-11A7-42C5-9517-95C1B0DD7B59}"/>
    <cellStyle name="Normal 9 2 2 4 2 4" xfId="9518" xr:uid="{256C5881-6978-49CC-9FF1-66E02AD81DB0}"/>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3F665194-50FF-48CE-A3BE-456540CCB1ED}"/>
    <cellStyle name="Normal 9 2 2 4 3 2 3" xfId="12076" xr:uid="{935DD133-8312-4CAA-8AB7-B83890A26996}"/>
    <cellStyle name="Normal 9 2 2 4 3 3" xfId="5710" xr:uid="{00000000-0005-0000-0000-0000EE1E0000}"/>
    <cellStyle name="Normal 9 2 2 4 3 3 2" xfId="14149" xr:uid="{45FA7C17-AAD2-4105-A874-247D84E5182E}"/>
    <cellStyle name="Normal 9 2 2 4 3 4" xfId="9931" xr:uid="{4894ADB2-06C2-40A8-AEC9-22A5383B946E}"/>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00CDE662-5BB2-4C78-8489-709FD3D67E4A}"/>
    <cellStyle name="Normal 9 2 2 4 4 2 3" xfId="12489" xr:uid="{029EBB1E-5C22-40D4-A05B-E50A8A1B97D9}"/>
    <cellStyle name="Normal 9 2 2 4 4 3" xfId="6123" xr:uid="{00000000-0005-0000-0000-0000F21E0000}"/>
    <cellStyle name="Normal 9 2 2 4 4 3 2" xfId="14562" xr:uid="{A67C17DC-F5FD-46D6-838B-0FB6419F11AF}"/>
    <cellStyle name="Normal 9 2 2 4 4 4" xfId="10344" xr:uid="{04C420BC-9574-4412-B796-CECA4A379EF1}"/>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934D66AE-FFB6-4E4D-9FA3-0EA9DCC59A32}"/>
    <cellStyle name="Normal 9 2 2 4 5 2 3" xfId="12902" xr:uid="{F4D7370A-2089-4B25-98C1-A19F98071D53}"/>
    <cellStyle name="Normal 9 2 2 4 5 3" xfId="6536" xr:uid="{00000000-0005-0000-0000-0000F61E0000}"/>
    <cellStyle name="Normal 9 2 2 4 5 3 2" xfId="14975" xr:uid="{EAA443CB-B9D2-4D25-AB26-9865446194C7}"/>
    <cellStyle name="Normal 9 2 2 4 5 4" xfId="10757" xr:uid="{81CF64F4-C2EE-4EBF-B73B-4E7848FB3DC4}"/>
    <cellStyle name="Normal 9 2 2 4 6" xfId="2665" xr:uid="{00000000-0005-0000-0000-0000F71E0000}"/>
    <cellStyle name="Normal 9 2 2 4 6 2" xfId="6949" xr:uid="{00000000-0005-0000-0000-0000F81E0000}"/>
    <cellStyle name="Normal 9 2 2 4 6 2 2" xfId="15388" xr:uid="{45F5624E-5034-42E9-8A00-10149DEF8EEE}"/>
    <cellStyle name="Normal 9 2 2 4 6 3" xfId="11170" xr:uid="{E4A13A9B-4F05-413A-BB2C-E66018A5C2EF}"/>
    <cellStyle name="Normal 9 2 2 4 7" xfId="4884" xr:uid="{00000000-0005-0000-0000-0000F91E0000}"/>
    <cellStyle name="Normal 9 2 2 4 7 2" xfId="13323" xr:uid="{25EEEA9E-A217-4E03-8B8B-7D50BA2502FD}"/>
    <cellStyle name="Normal 9 2 2 4 8" xfId="9105" xr:uid="{8F046670-0589-4038-8412-2F68850E1C3B}"/>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8DDF20A6-DEEF-45E3-9C51-A1FA7899A76E}"/>
    <cellStyle name="Normal 9 2 2 5 2 3" xfId="11656" xr:uid="{D4A505BA-03B4-425D-A370-4FC77E6BFC39}"/>
    <cellStyle name="Normal 9 2 2 5 3" xfId="5290" xr:uid="{00000000-0005-0000-0000-0000FD1E0000}"/>
    <cellStyle name="Normal 9 2 2 5 3 2" xfId="13729" xr:uid="{5A1B087C-767A-4706-A206-4DA6E006F8D2}"/>
    <cellStyle name="Normal 9 2 2 5 4" xfId="9511" xr:uid="{BBA08BA6-B4FC-4EC5-A5C6-DD115CBED3C0}"/>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EF4A836D-5A62-4424-9B05-0B9DE8899BCC}"/>
    <cellStyle name="Normal 9 2 2 6 2 3" xfId="12069" xr:uid="{82367019-15F1-4958-B58F-377753CFF7AB}"/>
    <cellStyle name="Normal 9 2 2 6 3" xfId="5703" xr:uid="{00000000-0005-0000-0000-0000011F0000}"/>
    <cellStyle name="Normal 9 2 2 6 3 2" xfId="14142" xr:uid="{F8ADBEC0-4ABB-4A60-9A96-CDE68D4FB56E}"/>
    <cellStyle name="Normal 9 2 2 6 4" xfId="9924" xr:uid="{C75052C1-0938-4BF1-9278-E6353D1074E9}"/>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43F4D113-D94F-4459-9BB4-F9DAEDCCBD83}"/>
    <cellStyle name="Normal 9 2 2 7 2 3" xfId="12482" xr:uid="{B81E66A0-843E-4FE7-9E49-6A8FC5A8CFD9}"/>
    <cellStyle name="Normal 9 2 2 7 3" xfId="6116" xr:uid="{00000000-0005-0000-0000-0000051F0000}"/>
    <cellStyle name="Normal 9 2 2 7 3 2" xfId="14555" xr:uid="{8D4F2094-6821-448B-91CA-7C2A721C0058}"/>
    <cellStyle name="Normal 9 2 2 7 4" xfId="10337" xr:uid="{C93B5276-BC88-48B3-B9B9-F0D89B4E9306}"/>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EC2B54C4-17A1-4AB2-B178-E677FFFBBC9E}"/>
    <cellStyle name="Normal 9 2 2 8 2 3" xfId="12895" xr:uid="{89938A1E-B4AD-4BAD-800F-38B9F9973085}"/>
    <cellStyle name="Normal 9 2 2 8 3" xfId="6529" xr:uid="{00000000-0005-0000-0000-0000091F0000}"/>
    <cellStyle name="Normal 9 2 2 8 3 2" xfId="14968" xr:uid="{E57FC5BC-DDAD-4907-A600-D963CD7E5114}"/>
    <cellStyle name="Normal 9 2 2 8 4" xfId="10750" xr:uid="{F64B8B04-FC8D-491F-9BA2-A5715DAF27A7}"/>
    <cellStyle name="Normal 9 2 2 9" xfId="2658" xr:uid="{00000000-0005-0000-0000-00000A1F0000}"/>
    <cellStyle name="Normal 9 2 2 9 2" xfId="6942" xr:uid="{00000000-0005-0000-0000-00000B1F0000}"/>
    <cellStyle name="Normal 9 2 2 9 2 2" xfId="15381" xr:uid="{B44048D0-2275-4EB6-815F-BE9B6031BB9C}"/>
    <cellStyle name="Normal 9 2 2 9 3" xfId="11163" xr:uid="{A4918C2E-09D0-4473-B269-EDE1F3C52192}"/>
    <cellStyle name="Normal 9 2 3" xfId="520" xr:uid="{00000000-0005-0000-0000-00000C1F0000}"/>
    <cellStyle name="Normal 9 2 3 10" xfId="9106" xr:uid="{C4F467E4-DC6C-4D82-AE57-D62A6B0E2B9D}"/>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5A528AD0-BC4F-46C6-9AD9-51145797B3B2}"/>
    <cellStyle name="Normal 9 2 3 2 2 2 2 3" xfId="11666" xr:uid="{F80A7435-BFB1-4161-9DEB-03AD163E9E6F}"/>
    <cellStyle name="Normal 9 2 3 2 2 2 3" xfId="5300" xr:uid="{00000000-0005-0000-0000-0000121F0000}"/>
    <cellStyle name="Normal 9 2 3 2 2 2 3 2" xfId="13739" xr:uid="{4589905F-C109-405C-B48C-84139366F861}"/>
    <cellStyle name="Normal 9 2 3 2 2 2 4" xfId="9521" xr:uid="{E1997A99-6CD6-4674-B930-902AA09490FB}"/>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8F75C46D-9A66-4E5C-8D19-F5157E3A782E}"/>
    <cellStyle name="Normal 9 2 3 2 2 3 2 3" xfId="12079" xr:uid="{DD6C46FA-1732-404F-BDA3-DE445E31FCB8}"/>
    <cellStyle name="Normal 9 2 3 2 2 3 3" xfId="5713" xr:uid="{00000000-0005-0000-0000-0000161F0000}"/>
    <cellStyle name="Normal 9 2 3 2 2 3 3 2" xfId="14152" xr:uid="{DCD6614E-877A-43F7-A8EF-5FFF8A8B66DD}"/>
    <cellStyle name="Normal 9 2 3 2 2 3 4" xfId="9934" xr:uid="{FA2C1EDA-543F-4C07-9203-6B6C9B14D77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D45B5509-CD8B-4198-8111-9A7A25676CED}"/>
    <cellStyle name="Normal 9 2 3 2 2 4 2 3" xfId="12492" xr:uid="{69B5878F-020F-41CA-BA29-5D4C504645B1}"/>
    <cellStyle name="Normal 9 2 3 2 2 4 3" xfId="6126" xr:uid="{00000000-0005-0000-0000-00001A1F0000}"/>
    <cellStyle name="Normal 9 2 3 2 2 4 3 2" xfId="14565" xr:uid="{48EFADE1-3958-4485-A88C-8C5A691095C5}"/>
    <cellStyle name="Normal 9 2 3 2 2 4 4" xfId="10347" xr:uid="{64E621F1-0BAC-49D0-A5ED-32164F477B2B}"/>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242F1657-CE47-4767-ACD0-5E298D6D216F}"/>
    <cellStyle name="Normal 9 2 3 2 2 5 2 3" xfId="12905" xr:uid="{137E7AFB-CAEA-40CE-A50B-50E433BBBA6A}"/>
    <cellStyle name="Normal 9 2 3 2 2 5 3" xfId="6539" xr:uid="{00000000-0005-0000-0000-00001E1F0000}"/>
    <cellStyle name="Normal 9 2 3 2 2 5 3 2" xfId="14978" xr:uid="{FF9F4A03-65BC-4880-994F-248DDAF67D09}"/>
    <cellStyle name="Normal 9 2 3 2 2 5 4" xfId="10760" xr:uid="{4B469A7F-5A4A-45C7-9CAB-B72E44EC5942}"/>
    <cellStyle name="Normal 9 2 3 2 2 6" xfId="2668" xr:uid="{00000000-0005-0000-0000-00001F1F0000}"/>
    <cellStyle name="Normal 9 2 3 2 2 6 2" xfId="6952" xr:uid="{00000000-0005-0000-0000-0000201F0000}"/>
    <cellStyle name="Normal 9 2 3 2 2 6 2 2" xfId="15391" xr:uid="{33F868B6-F0FC-4EB1-A280-CC9F419CCBDA}"/>
    <cellStyle name="Normal 9 2 3 2 2 6 3" xfId="11173" xr:uid="{E6690740-5112-49C6-B329-449CEC36A2AB}"/>
    <cellStyle name="Normal 9 2 3 2 2 7" xfId="4887" xr:uid="{00000000-0005-0000-0000-0000211F0000}"/>
    <cellStyle name="Normal 9 2 3 2 2 7 2" xfId="13326" xr:uid="{F64205D7-58AD-44DC-BFD3-CD504971C7EB}"/>
    <cellStyle name="Normal 9 2 3 2 2 8" xfId="9108" xr:uid="{1C242D8A-C642-43EA-8747-A0424153E228}"/>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AB973E82-B3EE-4747-988F-61BBD829E4F4}"/>
    <cellStyle name="Normal 9 2 3 2 3 2 3" xfId="11665" xr:uid="{F1B1C8A8-86B7-475D-8BB5-C6F562FB0816}"/>
    <cellStyle name="Normal 9 2 3 2 3 3" xfId="5299" xr:uid="{00000000-0005-0000-0000-0000251F0000}"/>
    <cellStyle name="Normal 9 2 3 2 3 3 2" xfId="13738" xr:uid="{5E726D19-5D57-45FF-997C-7553A6C7C683}"/>
    <cellStyle name="Normal 9 2 3 2 3 4" xfId="9520" xr:uid="{0FB8AEAF-F6C8-4837-BA86-8171488D5AE6}"/>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E8FBE6BF-8F9B-4BBD-BA39-985463BC0233}"/>
    <cellStyle name="Normal 9 2 3 2 4 2 3" xfId="12078" xr:uid="{E7DE593F-0D45-4095-913C-762F143B209F}"/>
    <cellStyle name="Normal 9 2 3 2 4 3" xfId="5712" xr:uid="{00000000-0005-0000-0000-0000291F0000}"/>
    <cellStyle name="Normal 9 2 3 2 4 3 2" xfId="14151" xr:uid="{9F735B36-F3D2-4F9C-9B17-EC5C3AA93B66}"/>
    <cellStyle name="Normal 9 2 3 2 4 4" xfId="9933" xr:uid="{A2E6CCD6-64B0-4733-A91B-1BDDA73921B7}"/>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0E2511F9-C43F-4407-AAB8-957299145C45}"/>
    <cellStyle name="Normal 9 2 3 2 5 2 3" xfId="12491" xr:uid="{399BEDB1-2963-4A5D-AE9E-11F3F7E0890A}"/>
    <cellStyle name="Normal 9 2 3 2 5 3" xfId="6125" xr:uid="{00000000-0005-0000-0000-00002D1F0000}"/>
    <cellStyle name="Normal 9 2 3 2 5 3 2" xfId="14564" xr:uid="{91DF80A6-31B6-48F7-9E5D-A69F0D73615F}"/>
    <cellStyle name="Normal 9 2 3 2 5 4" xfId="10346" xr:uid="{C4FACC61-B742-4E8E-AF7F-E80BAB6280B3}"/>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219A5C9C-0D41-4862-84D7-3AE1702C3850}"/>
    <cellStyle name="Normal 9 2 3 2 6 2 3" xfId="12904" xr:uid="{44A6F21F-B653-4F95-BDD6-5E7F9B98404F}"/>
    <cellStyle name="Normal 9 2 3 2 6 3" xfId="6538" xr:uid="{00000000-0005-0000-0000-0000311F0000}"/>
    <cellStyle name="Normal 9 2 3 2 6 3 2" xfId="14977" xr:uid="{14272F3A-61B8-4A7D-A5D7-F34A306D8F30}"/>
    <cellStyle name="Normal 9 2 3 2 6 4" xfId="10759" xr:uid="{3D3AC01D-3E2B-454D-8CC1-ABD0F21B4B80}"/>
    <cellStyle name="Normal 9 2 3 2 7" xfId="2667" xr:uid="{00000000-0005-0000-0000-0000321F0000}"/>
    <cellStyle name="Normal 9 2 3 2 7 2" xfId="6951" xr:uid="{00000000-0005-0000-0000-0000331F0000}"/>
    <cellStyle name="Normal 9 2 3 2 7 2 2" xfId="15390" xr:uid="{307D424C-8EFC-463D-81E8-4258E751C1BB}"/>
    <cellStyle name="Normal 9 2 3 2 7 3" xfId="11172" xr:uid="{D5C6D5AA-AB89-43D2-B5A2-7CA24BB406B1}"/>
    <cellStyle name="Normal 9 2 3 2 8" xfId="4886" xr:uid="{00000000-0005-0000-0000-0000341F0000}"/>
    <cellStyle name="Normal 9 2 3 2 8 2" xfId="13325" xr:uid="{0C385F53-4FF4-4BE3-82F5-09A08E8DECF3}"/>
    <cellStyle name="Normal 9 2 3 2 9" xfId="9107" xr:uid="{10BB4454-1D8D-45A1-B759-D42F1481DE7D}"/>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A9FF770C-A31D-425E-B29C-F7F53688538D}"/>
    <cellStyle name="Normal 9 2 3 3 2 2 3" xfId="11667" xr:uid="{E4C4F22E-42B9-4109-B521-21A33CD2A387}"/>
    <cellStyle name="Normal 9 2 3 3 2 3" xfId="5301" xr:uid="{00000000-0005-0000-0000-0000391F0000}"/>
    <cellStyle name="Normal 9 2 3 3 2 3 2" xfId="13740" xr:uid="{62E3365D-F25B-4AAE-B71E-14CCFE26EAE3}"/>
    <cellStyle name="Normal 9 2 3 3 2 4" xfId="9522" xr:uid="{A964DA7C-1681-4517-ACF8-1D3045D50CE7}"/>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0018BAC7-62EE-4539-A8FE-EC56F654A0C6}"/>
    <cellStyle name="Normal 9 2 3 3 3 2 3" xfId="12080" xr:uid="{BB1FF3C5-CD39-43F9-B46A-D1CCC4D1D23B}"/>
    <cellStyle name="Normal 9 2 3 3 3 3" xfId="5714" xr:uid="{00000000-0005-0000-0000-00003D1F0000}"/>
    <cellStyle name="Normal 9 2 3 3 3 3 2" xfId="14153" xr:uid="{97B4CA4F-F437-4069-9081-DD786E2E4FE9}"/>
    <cellStyle name="Normal 9 2 3 3 3 4" xfId="9935" xr:uid="{6D940AF4-2F46-442B-B68F-93696FB076AD}"/>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8A6CBF48-3B61-418F-8F14-10821C5986E8}"/>
    <cellStyle name="Normal 9 2 3 3 4 2 3" xfId="12493" xr:uid="{3B9DE542-355A-4367-9339-3ED808ECFAC2}"/>
    <cellStyle name="Normal 9 2 3 3 4 3" xfId="6127" xr:uid="{00000000-0005-0000-0000-0000411F0000}"/>
    <cellStyle name="Normal 9 2 3 3 4 3 2" xfId="14566" xr:uid="{E0C433E3-9D73-4961-97BF-7245F22B0B74}"/>
    <cellStyle name="Normal 9 2 3 3 4 4" xfId="10348" xr:uid="{603F2D94-1C5D-482B-B7AB-7FC9EA57AFE9}"/>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75DC08FC-425A-4DB9-83F7-D33C15E0A248}"/>
    <cellStyle name="Normal 9 2 3 3 5 2 3" xfId="12906" xr:uid="{1D9D04D5-0424-490E-AD6C-4D76265CE1D8}"/>
    <cellStyle name="Normal 9 2 3 3 5 3" xfId="6540" xr:uid="{00000000-0005-0000-0000-0000451F0000}"/>
    <cellStyle name="Normal 9 2 3 3 5 3 2" xfId="14979" xr:uid="{8D2CCD9B-78BC-4889-9833-734AF02CCAEF}"/>
    <cellStyle name="Normal 9 2 3 3 5 4" xfId="10761" xr:uid="{D220C665-933F-4A65-8534-A8C125BD163D}"/>
    <cellStyle name="Normal 9 2 3 3 6" xfId="2669" xr:uid="{00000000-0005-0000-0000-0000461F0000}"/>
    <cellStyle name="Normal 9 2 3 3 6 2" xfId="6953" xr:uid="{00000000-0005-0000-0000-0000471F0000}"/>
    <cellStyle name="Normal 9 2 3 3 6 2 2" xfId="15392" xr:uid="{881403B4-1039-47F8-8934-4AEF0A11BE5A}"/>
    <cellStyle name="Normal 9 2 3 3 6 3" xfId="11174" xr:uid="{4C629349-491A-4521-B74B-0A57345AFAFA}"/>
    <cellStyle name="Normal 9 2 3 3 7" xfId="4888" xr:uid="{00000000-0005-0000-0000-0000481F0000}"/>
    <cellStyle name="Normal 9 2 3 3 7 2" xfId="13327" xr:uid="{BA8CC5B6-13E5-41EC-A1AC-30300C448A8E}"/>
    <cellStyle name="Normal 9 2 3 3 8" xfId="9109" xr:uid="{FA7C2B03-4BBC-49ED-A4ED-E16C2EDF18C5}"/>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F3E77218-CC50-4132-AC4F-41762D152D7E}"/>
    <cellStyle name="Normal 9 2 3 4 2 3" xfId="11664" xr:uid="{6BBCCF02-6FA4-4796-806D-DAD07CF9E1DD}"/>
    <cellStyle name="Normal 9 2 3 4 3" xfId="5298" xr:uid="{00000000-0005-0000-0000-00004C1F0000}"/>
    <cellStyle name="Normal 9 2 3 4 3 2" xfId="13737" xr:uid="{45BDAB44-7C5C-4ABB-A58F-AA28AEAFD110}"/>
    <cellStyle name="Normal 9 2 3 4 4" xfId="9519" xr:uid="{43E6F712-C0D6-4CE0-88E6-1E621249A20C}"/>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724E2747-2B80-4D85-ACAB-CDE81755E45E}"/>
    <cellStyle name="Normal 9 2 3 5 2 3" xfId="12077" xr:uid="{6F8A8995-9F45-4C1D-84B6-868B09FA1C77}"/>
    <cellStyle name="Normal 9 2 3 5 3" xfId="5711" xr:uid="{00000000-0005-0000-0000-0000501F0000}"/>
    <cellStyle name="Normal 9 2 3 5 3 2" xfId="14150" xr:uid="{773F00D7-BC97-4336-AA13-933715F67C65}"/>
    <cellStyle name="Normal 9 2 3 5 4" xfId="9932" xr:uid="{03CEB2D2-50A9-4667-85CD-9AF8DBFEA760}"/>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84F9E3BD-2A09-4073-93F2-9704192FFC65}"/>
    <cellStyle name="Normal 9 2 3 6 2 3" xfId="12490" xr:uid="{9FE46CBF-256D-40CA-B552-7EA7864884B5}"/>
    <cellStyle name="Normal 9 2 3 6 3" xfId="6124" xr:uid="{00000000-0005-0000-0000-0000541F0000}"/>
    <cellStyle name="Normal 9 2 3 6 3 2" xfId="14563" xr:uid="{017B0F7D-4193-45BC-B5A0-BD46793F980D}"/>
    <cellStyle name="Normal 9 2 3 6 4" xfId="10345" xr:uid="{430EAA62-D9D9-4579-AE2D-94D3B2E9DEA5}"/>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65365853-6780-42A7-9B1F-04501AD99C30}"/>
    <cellStyle name="Normal 9 2 3 7 2 3" xfId="12903" xr:uid="{42F33C86-3076-44CC-ACEE-5B85666FB3ED}"/>
    <cellStyle name="Normal 9 2 3 7 3" xfId="6537" xr:uid="{00000000-0005-0000-0000-0000581F0000}"/>
    <cellStyle name="Normal 9 2 3 7 3 2" xfId="14976" xr:uid="{314858E7-4842-448D-932A-10A780736098}"/>
    <cellStyle name="Normal 9 2 3 7 4" xfId="10758" xr:uid="{C9C71074-0921-45D2-8CE2-CC9E36B16BB3}"/>
    <cellStyle name="Normal 9 2 3 8" xfId="2666" xr:uid="{00000000-0005-0000-0000-0000591F0000}"/>
    <cellStyle name="Normal 9 2 3 8 2" xfId="6950" xr:uid="{00000000-0005-0000-0000-00005A1F0000}"/>
    <cellStyle name="Normal 9 2 3 8 2 2" xfId="15389" xr:uid="{1F1E0370-E4E0-4124-8056-DAA45FED70A7}"/>
    <cellStyle name="Normal 9 2 3 8 3" xfId="11171" xr:uid="{7CF0BDC5-33E7-454D-89AA-90B2AD29519A}"/>
    <cellStyle name="Normal 9 2 3 9" xfId="4885" xr:uid="{00000000-0005-0000-0000-00005B1F0000}"/>
    <cellStyle name="Normal 9 2 3 9 2" xfId="13324" xr:uid="{028D526D-6569-4981-AAA8-ED2BD1794DD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4CDAFA5A-31A7-4091-B03E-86C9B02EBFB5}"/>
    <cellStyle name="Normal 9 2 4 2 2 2 3" xfId="11669" xr:uid="{5A257673-0477-4BA5-8C6A-18497A919FC7}"/>
    <cellStyle name="Normal 9 2 4 2 2 3" xfId="5303" xr:uid="{00000000-0005-0000-0000-0000611F0000}"/>
    <cellStyle name="Normal 9 2 4 2 2 3 2" xfId="13742" xr:uid="{C01FFF3A-6F13-4807-BC60-410E547AD991}"/>
    <cellStyle name="Normal 9 2 4 2 2 4" xfId="9524" xr:uid="{848FC2B0-6499-406C-9343-8F67BE45CAB9}"/>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F54F10B5-B5F4-483A-81F7-35105FCE4D71}"/>
    <cellStyle name="Normal 9 2 4 2 3 2 3" xfId="12082" xr:uid="{F4927E7A-92F7-4BA5-8956-D4F20E546D4D}"/>
    <cellStyle name="Normal 9 2 4 2 3 3" xfId="5716" xr:uid="{00000000-0005-0000-0000-0000651F0000}"/>
    <cellStyle name="Normal 9 2 4 2 3 3 2" xfId="14155" xr:uid="{D2CA9E44-EAC7-48F2-8CF6-C04004EC3DBD}"/>
    <cellStyle name="Normal 9 2 4 2 3 4" xfId="9937" xr:uid="{55AB048E-88E4-4C13-B518-D38993CF9A0E}"/>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2DA27835-28C8-41F7-BA6B-6F8349770619}"/>
    <cellStyle name="Normal 9 2 4 2 4 2 3" xfId="12495" xr:uid="{A411B63C-4AF3-4171-A241-383C927DF2CA}"/>
    <cellStyle name="Normal 9 2 4 2 4 3" xfId="6129" xr:uid="{00000000-0005-0000-0000-0000691F0000}"/>
    <cellStyle name="Normal 9 2 4 2 4 3 2" xfId="14568" xr:uid="{EE088C70-8EDB-40DF-993B-2FE14BBF36C4}"/>
    <cellStyle name="Normal 9 2 4 2 4 4" xfId="10350" xr:uid="{073937AE-E485-445B-8A68-85311C66E3B3}"/>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5D32D212-53F7-4C26-8B79-1B5BBD9456DB}"/>
    <cellStyle name="Normal 9 2 4 2 5 2 3" xfId="12908" xr:uid="{6B04E290-4A5E-41FE-8489-CEE9005A34D5}"/>
    <cellStyle name="Normal 9 2 4 2 5 3" xfId="6542" xr:uid="{00000000-0005-0000-0000-00006D1F0000}"/>
    <cellStyle name="Normal 9 2 4 2 5 3 2" xfId="14981" xr:uid="{77FDA74C-EE05-4FAE-AB4C-0A7B613C4C06}"/>
    <cellStyle name="Normal 9 2 4 2 5 4" xfId="10763" xr:uid="{26814B45-FB15-4952-9EF3-619DBB32E12A}"/>
    <cellStyle name="Normal 9 2 4 2 6" xfId="2671" xr:uid="{00000000-0005-0000-0000-00006E1F0000}"/>
    <cellStyle name="Normal 9 2 4 2 6 2" xfId="6955" xr:uid="{00000000-0005-0000-0000-00006F1F0000}"/>
    <cellStyle name="Normal 9 2 4 2 6 2 2" xfId="15394" xr:uid="{84189CD6-BE4D-4E15-A575-69870AF62EAB}"/>
    <cellStyle name="Normal 9 2 4 2 6 3" xfId="11176" xr:uid="{3FE31F90-661A-49C7-BC60-5F374F2F95CA}"/>
    <cellStyle name="Normal 9 2 4 2 7" xfId="4890" xr:uid="{00000000-0005-0000-0000-0000701F0000}"/>
    <cellStyle name="Normal 9 2 4 2 7 2" xfId="13329" xr:uid="{6B23EE2A-6E87-44A9-8EF1-E4C3B2E617BA}"/>
    <cellStyle name="Normal 9 2 4 2 8" xfId="9111" xr:uid="{CA6B7483-D4FC-48C5-BA57-4072D8A788EC}"/>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F3FEB433-7B4F-4E86-B8CE-7709CAA234AF}"/>
    <cellStyle name="Normal 9 2 4 3 2 3" xfId="11668" xr:uid="{65A8BD60-45D7-4274-907A-3820C60C0BB0}"/>
    <cellStyle name="Normal 9 2 4 3 3" xfId="5302" xr:uid="{00000000-0005-0000-0000-0000741F0000}"/>
    <cellStyle name="Normal 9 2 4 3 3 2" xfId="13741" xr:uid="{D4FFAC60-E362-4F6F-B893-E385621EE9E3}"/>
    <cellStyle name="Normal 9 2 4 3 4" xfId="9523" xr:uid="{275FFE31-2EC7-4145-B21F-8E667D25E8DA}"/>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372FE121-D923-464F-AF2B-69E73E7C7A2D}"/>
    <cellStyle name="Normal 9 2 4 4 2 3" xfId="12081" xr:uid="{2B7E76CF-D13D-4340-BB62-A604BCB72176}"/>
    <cellStyle name="Normal 9 2 4 4 3" xfId="5715" xr:uid="{00000000-0005-0000-0000-0000781F0000}"/>
    <cellStyle name="Normal 9 2 4 4 3 2" xfId="14154" xr:uid="{05A3C2F8-8189-427C-9BC8-6D6FDEA44E79}"/>
    <cellStyle name="Normal 9 2 4 4 4" xfId="9936" xr:uid="{B92729CA-9277-4E14-81AA-E3AD93F55760}"/>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455487CE-05BB-4D8D-B143-B1A666FE0F15}"/>
    <cellStyle name="Normal 9 2 4 5 2 3" xfId="12494" xr:uid="{0C8C9D4A-6B6F-452B-9278-DA1FDDEAF8D1}"/>
    <cellStyle name="Normal 9 2 4 5 3" xfId="6128" xr:uid="{00000000-0005-0000-0000-00007C1F0000}"/>
    <cellStyle name="Normal 9 2 4 5 3 2" xfId="14567" xr:uid="{4237D69F-BA38-4893-9579-6395AF839281}"/>
    <cellStyle name="Normal 9 2 4 5 4" xfId="10349" xr:uid="{06FABD8C-F9B5-4FE8-B81B-B7557F1945A9}"/>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BE53077E-CFEF-42C9-A6AA-89BDAD4F442D}"/>
    <cellStyle name="Normal 9 2 4 6 2 3" xfId="12907" xr:uid="{24AABB4F-C8E6-4C04-A27A-E97ECD6873C8}"/>
    <cellStyle name="Normal 9 2 4 6 3" xfId="6541" xr:uid="{00000000-0005-0000-0000-0000801F0000}"/>
    <cellStyle name="Normal 9 2 4 6 3 2" xfId="14980" xr:uid="{12CA8455-EFB3-4F07-ACF2-56FD71D44621}"/>
    <cellStyle name="Normal 9 2 4 6 4" xfId="10762" xr:uid="{67EB3B22-668F-4041-96A5-C63505453D85}"/>
    <cellStyle name="Normal 9 2 4 7" xfId="2670" xr:uid="{00000000-0005-0000-0000-0000811F0000}"/>
    <cellStyle name="Normal 9 2 4 7 2" xfId="6954" xr:uid="{00000000-0005-0000-0000-0000821F0000}"/>
    <cellStyle name="Normal 9 2 4 7 2 2" xfId="15393" xr:uid="{0D4C0242-4817-4011-ADB3-101A17563E3A}"/>
    <cellStyle name="Normal 9 2 4 7 3" xfId="11175" xr:uid="{2E784ECA-0D6E-4D4B-B6B2-EC801444A7DF}"/>
    <cellStyle name="Normal 9 2 4 8" xfId="4889" xr:uid="{00000000-0005-0000-0000-0000831F0000}"/>
    <cellStyle name="Normal 9 2 4 8 2" xfId="13328" xr:uid="{1A20728A-2103-42E0-AFF9-33E5A12B4BD9}"/>
    <cellStyle name="Normal 9 2 4 9" xfId="9110" xr:uid="{CB6DDC5B-FC25-4176-88CB-9640F70D13A4}"/>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C808AE29-446D-4F9C-AEA2-8B8E35A11469}"/>
    <cellStyle name="Normal 9 2 5 2 2 3" xfId="11670" xr:uid="{869520AA-EED0-4EA1-BB71-4C6C34D09FDD}"/>
    <cellStyle name="Normal 9 2 5 2 3" xfId="5304" xr:uid="{00000000-0005-0000-0000-0000881F0000}"/>
    <cellStyle name="Normal 9 2 5 2 3 2" xfId="13743" xr:uid="{7530A136-4504-4E09-BD5A-3856A51397B2}"/>
    <cellStyle name="Normal 9 2 5 2 4" xfId="9525" xr:uid="{BE36DEA2-4736-463A-88AE-A22E2713F536}"/>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97F7AE8B-126D-4A68-BB5E-144CFB7E1CE2}"/>
    <cellStyle name="Normal 9 2 5 3 2 3" xfId="12083" xr:uid="{0945367D-8962-48EC-950C-DA7106B2FC14}"/>
    <cellStyle name="Normal 9 2 5 3 3" xfId="5717" xr:uid="{00000000-0005-0000-0000-00008C1F0000}"/>
    <cellStyle name="Normal 9 2 5 3 3 2" xfId="14156" xr:uid="{C6522E57-323F-4363-BCC2-66EF97FC8DD0}"/>
    <cellStyle name="Normal 9 2 5 3 4" xfId="9938" xr:uid="{5DDCB14D-478C-4689-8429-FE983CF2F89A}"/>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F097C5E9-338D-459B-BF2A-397F3DD350F9}"/>
    <cellStyle name="Normal 9 2 5 4 2 3" xfId="12496" xr:uid="{1A94C27F-0B1E-4923-9F87-CE812C655986}"/>
    <cellStyle name="Normal 9 2 5 4 3" xfId="6130" xr:uid="{00000000-0005-0000-0000-0000901F0000}"/>
    <cellStyle name="Normal 9 2 5 4 3 2" xfId="14569" xr:uid="{6BDC5D18-42B4-43D9-A6D1-D03371F5987D}"/>
    <cellStyle name="Normal 9 2 5 4 4" xfId="10351" xr:uid="{E8BD1419-44B2-45D8-A76F-669DB635B42E}"/>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051A98C3-F4F0-4E39-B2D4-1E660FF483CD}"/>
    <cellStyle name="Normal 9 2 5 5 2 3" xfId="12909" xr:uid="{92EA5BE4-217F-4A2D-9C05-7E86173D23BD}"/>
    <cellStyle name="Normal 9 2 5 5 3" xfId="6543" xr:uid="{00000000-0005-0000-0000-0000941F0000}"/>
    <cellStyle name="Normal 9 2 5 5 3 2" xfId="14982" xr:uid="{B777210D-16B8-4ED8-8981-4C9441C59964}"/>
    <cellStyle name="Normal 9 2 5 5 4" xfId="10764" xr:uid="{5123776F-676A-42B5-9FF9-289F98FBB046}"/>
    <cellStyle name="Normal 9 2 5 6" xfId="2672" xr:uid="{00000000-0005-0000-0000-0000951F0000}"/>
    <cellStyle name="Normal 9 2 5 6 2" xfId="6956" xr:uid="{00000000-0005-0000-0000-0000961F0000}"/>
    <cellStyle name="Normal 9 2 5 6 2 2" xfId="15395" xr:uid="{722D37F3-C88D-482D-B4CF-F6B622DBF3C0}"/>
    <cellStyle name="Normal 9 2 5 6 3" xfId="11177" xr:uid="{3908A5C0-073B-4534-8B7F-B82BE85E0AE3}"/>
    <cellStyle name="Normal 9 2 5 7" xfId="4891" xr:uid="{00000000-0005-0000-0000-0000971F0000}"/>
    <cellStyle name="Normal 9 2 5 7 2" xfId="13330" xr:uid="{848F7980-0369-496B-AF3A-4EB2A3741307}"/>
    <cellStyle name="Normal 9 2 5 8" xfId="9112" xr:uid="{A77364B4-29B8-41BD-B0A6-A83E07C5FA8B}"/>
    <cellStyle name="Normal 9 2 6" xfId="978" xr:uid="{00000000-0005-0000-0000-0000981F0000}"/>
    <cellStyle name="Normal 9 2 6 2" xfId="3211" xr:uid="{00000000-0005-0000-0000-0000991F0000}"/>
    <cellStyle name="Normal 9 2 6 2 2" xfId="7434" xr:uid="{00000000-0005-0000-0000-00009A1F0000}"/>
    <cellStyle name="Normal 9 2 6 2 2 2" xfId="15873" xr:uid="{C6E6D54C-2146-4E90-9489-14325E68E5B2}"/>
    <cellStyle name="Normal 9 2 6 2 3" xfId="11655" xr:uid="{37FFDA64-3264-47E1-B464-BACEFBEAFF66}"/>
    <cellStyle name="Normal 9 2 6 3" xfId="5289" xr:uid="{00000000-0005-0000-0000-00009B1F0000}"/>
    <cellStyle name="Normal 9 2 6 3 2" xfId="13728" xr:uid="{FB04E027-E0FF-4439-904F-D1FB9875831C}"/>
    <cellStyle name="Normal 9 2 6 4" xfId="9510" xr:uid="{95B47BEC-2AE9-42AA-88CE-4291D6F20ADA}"/>
    <cellStyle name="Normal 9 2 7" xfId="1394" xr:uid="{00000000-0005-0000-0000-00009C1F0000}"/>
    <cellStyle name="Normal 9 2 7 2" xfId="3624" xr:uid="{00000000-0005-0000-0000-00009D1F0000}"/>
    <cellStyle name="Normal 9 2 7 2 2" xfId="7847" xr:uid="{00000000-0005-0000-0000-00009E1F0000}"/>
    <cellStyle name="Normal 9 2 7 2 2 2" xfId="16286" xr:uid="{92AB26E0-6168-45D0-B219-5CF7D395F2C3}"/>
    <cellStyle name="Normal 9 2 7 2 3" xfId="12068" xr:uid="{D6B6C845-9AFD-48E1-98B1-8E4027BF35CA}"/>
    <cellStyle name="Normal 9 2 7 3" xfId="5702" xr:uid="{00000000-0005-0000-0000-00009F1F0000}"/>
    <cellStyle name="Normal 9 2 7 3 2" xfId="14141" xr:uid="{44FB8D4C-1273-4941-AF4C-82A504A88FBB}"/>
    <cellStyle name="Normal 9 2 7 4" xfId="9923" xr:uid="{88F8A828-5103-4A23-93D2-EBACED5BEAC1}"/>
    <cellStyle name="Normal 9 2 8" xfId="1807" xr:uid="{00000000-0005-0000-0000-0000A01F0000}"/>
    <cellStyle name="Normal 9 2 8 2" xfId="4037" xr:uid="{00000000-0005-0000-0000-0000A11F0000}"/>
    <cellStyle name="Normal 9 2 8 2 2" xfId="8260" xr:uid="{00000000-0005-0000-0000-0000A21F0000}"/>
    <cellStyle name="Normal 9 2 8 2 2 2" xfId="16699" xr:uid="{D89AE3B2-403D-4EB0-8F4C-07E05B18058E}"/>
    <cellStyle name="Normal 9 2 8 2 3" xfId="12481" xr:uid="{77468D91-0CFB-4F9E-940E-37AC319B0C01}"/>
    <cellStyle name="Normal 9 2 8 3" xfId="6115" xr:uid="{00000000-0005-0000-0000-0000A31F0000}"/>
    <cellStyle name="Normal 9 2 8 3 2" xfId="14554" xr:uid="{82A2490E-3F6F-4656-820F-177C21AFE61B}"/>
    <cellStyle name="Normal 9 2 8 4" xfId="10336" xr:uid="{F65C1D1B-819D-438B-85B6-0669FA523D13}"/>
    <cellStyle name="Normal 9 2 9" xfId="2221" xr:uid="{00000000-0005-0000-0000-0000A41F0000}"/>
    <cellStyle name="Normal 9 2 9 2" xfId="4450" xr:uid="{00000000-0005-0000-0000-0000A51F0000}"/>
    <cellStyle name="Normal 9 2 9 2 2" xfId="8673" xr:uid="{00000000-0005-0000-0000-0000A61F0000}"/>
    <cellStyle name="Normal 9 2 9 2 2 2" xfId="17112" xr:uid="{D460B899-98D4-41A3-9C6C-7DED7895F597}"/>
    <cellStyle name="Normal 9 2 9 2 3" xfId="12894" xr:uid="{D664A72E-2FF7-4471-B8B9-083060233B99}"/>
    <cellStyle name="Normal 9 2 9 3" xfId="6528" xr:uid="{00000000-0005-0000-0000-0000A71F0000}"/>
    <cellStyle name="Normal 9 2 9 3 2" xfId="14967" xr:uid="{C7A97BED-6E59-4E7C-9F7D-3EAE0CEBAAFB}"/>
    <cellStyle name="Normal 9 2 9 4" xfId="10749" xr:uid="{9C13E854-FE53-426A-BC04-5278FA6063E3}"/>
    <cellStyle name="Normal 9 3" xfId="527" xr:uid="{00000000-0005-0000-0000-0000A81F0000}"/>
    <cellStyle name="Normal 9 3 10" xfId="4892" xr:uid="{00000000-0005-0000-0000-0000A91F0000}"/>
    <cellStyle name="Normal 9 3 10 2" xfId="13331" xr:uid="{5B6B3936-C917-4A22-8F2E-C65A041C34F0}"/>
    <cellStyle name="Normal 9 3 11" xfId="9113" xr:uid="{FA980C36-2ED7-4725-B32F-5C27014D34AE}"/>
    <cellStyle name="Normal 9 3 2" xfId="528" xr:uid="{00000000-0005-0000-0000-0000AA1F0000}"/>
    <cellStyle name="Normal 9 3 2 10" xfId="9114" xr:uid="{0D3E5DCB-7453-46E8-85DB-A4CE6A393134}"/>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DF50F32A-CD09-4C75-B1AC-50161166B55D}"/>
    <cellStyle name="Normal 9 3 2 2 2 2 2 3" xfId="11674" xr:uid="{8B9612CC-F2D8-434E-B611-6C826533B4B0}"/>
    <cellStyle name="Normal 9 3 2 2 2 2 3" xfId="5308" xr:uid="{00000000-0005-0000-0000-0000B01F0000}"/>
    <cellStyle name="Normal 9 3 2 2 2 2 3 2" xfId="13747" xr:uid="{BEC69DBA-AB5C-440A-806C-C7EAA95524CE}"/>
    <cellStyle name="Normal 9 3 2 2 2 2 4" xfId="9529" xr:uid="{39438004-17F9-4EA2-A143-A04979AAC47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38FCD9BD-A51C-48F2-8DB0-B9E3AD553681}"/>
    <cellStyle name="Normal 9 3 2 2 2 3 2 3" xfId="12087" xr:uid="{F2A2B950-CE98-40BE-B5A5-817C9703E223}"/>
    <cellStyle name="Normal 9 3 2 2 2 3 3" xfId="5721" xr:uid="{00000000-0005-0000-0000-0000B41F0000}"/>
    <cellStyle name="Normal 9 3 2 2 2 3 3 2" xfId="14160" xr:uid="{0601BCCB-8DA6-4912-8B33-660BE210BF9C}"/>
    <cellStyle name="Normal 9 3 2 2 2 3 4" xfId="9942" xr:uid="{B77B5E8C-812A-4B30-AE8B-46A1C337060A}"/>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84F209FC-41D5-49F2-91B9-023D69A176C3}"/>
    <cellStyle name="Normal 9 3 2 2 2 4 2 3" xfId="12500" xr:uid="{0D982EDF-D5C4-47A3-9CA0-846D9AFDD007}"/>
    <cellStyle name="Normal 9 3 2 2 2 4 3" xfId="6134" xr:uid="{00000000-0005-0000-0000-0000B81F0000}"/>
    <cellStyle name="Normal 9 3 2 2 2 4 3 2" xfId="14573" xr:uid="{23F2FE33-E085-4C50-9B96-A3822799520A}"/>
    <cellStyle name="Normal 9 3 2 2 2 4 4" xfId="10355" xr:uid="{425E3A13-D024-45A6-AEF5-8C3B2C43B93B}"/>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A4D5BED2-4C93-4A98-97A9-08662B07AE70}"/>
    <cellStyle name="Normal 9 3 2 2 2 5 2 3" xfId="12913" xr:uid="{E9ECF3B1-C526-4C16-A297-34436149C3E8}"/>
    <cellStyle name="Normal 9 3 2 2 2 5 3" xfId="6547" xr:uid="{00000000-0005-0000-0000-0000BC1F0000}"/>
    <cellStyle name="Normal 9 3 2 2 2 5 3 2" xfId="14986" xr:uid="{F548A16D-32EE-4822-8D8F-1DBE36ECBEC1}"/>
    <cellStyle name="Normal 9 3 2 2 2 5 4" xfId="10768" xr:uid="{973165F6-1344-423E-BEE5-E538928E5482}"/>
    <cellStyle name="Normal 9 3 2 2 2 6" xfId="2676" xr:uid="{00000000-0005-0000-0000-0000BD1F0000}"/>
    <cellStyle name="Normal 9 3 2 2 2 6 2" xfId="6960" xr:uid="{00000000-0005-0000-0000-0000BE1F0000}"/>
    <cellStyle name="Normal 9 3 2 2 2 6 2 2" xfId="15399" xr:uid="{54E0C616-2938-49AD-8EC7-B8D6B61096BA}"/>
    <cellStyle name="Normal 9 3 2 2 2 6 3" xfId="11181" xr:uid="{CA5BB954-45E1-4D15-81EE-47C1D1623274}"/>
    <cellStyle name="Normal 9 3 2 2 2 7" xfId="4895" xr:uid="{00000000-0005-0000-0000-0000BF1F0000}"/>
    <cellStyle name="Normal 9 3 2 2 2 7 2" xfId="13334" xr:uid="{0746D4B1-EC63-43C5-B766-7D5E7335BFB1}"/>
    <cellStyle name="Normal 9 3 2 2 2 8" xfId="9116" xr:uid="{D5CC6D51-6708-4CE4-889A-CF5950862747}"/>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53C14327-55C0-4AFB-BB64-E40517552468}"/>
    <cellStyle name="Normal 9 3 2 2 3 2 3" xfId="11673" xr:uid="{53BBC073-5071-4BEE-BF79-3F58A8EC7160}"/>
    <cellStyle name="Normal 9 3 2 2 3 3" xfId="5307" xr:uid="{00000000-0005-0000-0000-0000C31F0000}"/>
    <cellStyle name="Normal 9 3 2 2 3 3 2" xfId="13746" xr:uid="{F5BB9774-72C1-45CC-AEC2-B66DFE951417}"/>
    <cellStyle name="Normal 9 3 2 2 3 4" xfId="9528" xr:uid="{6AA7FD49-D441-407A-955B-626D2300D335}"/>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C4AC4F15-B009-4CF0-8DF1-CC2BDC3ADFD5}"/>
    <cellStyle name="Normal 9 3 2 2 4 2 3" xfId="12086" xr:uid="{67D74853-0A4C-4483-89B0-7CCEB36B19C2}"/>
    <cellStyle name="Normal 9 3 2 2 4 3" xfId="5720" xr:uid="{00000000-0005-0000-0000-0000C71F0000}"/>
    <cellStyle name="Normal 9 3 2 2 4 3 2" xfId="14159" xr:uid="{901561AD-1ED9-4D01-8D2E-93A34F574065}"/>
    <cellStyle name="Normal 9 3 2 2 4 4" xfId="9941" xr:uid="{7C3085C0-A8A3-449D-A857-292D2F0750D6}"/>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55956F29-F48B-4FF6-8C96-C175E1829B84}"/>
    <cellStyle name="Normal 9 3 2 2 5 2 3" xfId="12499" xr:uid="{030CF446-461A-47A2-BF02-624F4549603A}"/>
    <cellStyle name="Normal 9 3 2 2 5 3" xfId="6133" xr:uid="{00000000-0005-0000-0000-0000CB1F0000}"/>
    <cellStyle name="Normal 9 3 2 2 5 3 2" xfId="14572" xr:uid="{A5FEAEFD-CFF7-4824-BE13-16390BAA8591}"/>
    <cellStyle name="Normal 9 3 2 2 5 4" xfId="10354" xr:uid="{07AF04A0-A249-406A-A51F-D38C19C45206}"/>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F3D408E0-B4AA-48B6-B970-E9378A2305F4}"/>
    <cellStyle name="Normal 9 3 2 2 6 2 3" xfId="12912" xr:uid="{1F542393-7B47-467F-B7A8-E02987E8EDF3}"/>
    <cellStyle name="Normal 9 3 2 2 6 3" xfId="6546" xr:uid="{00000000-0005-0000-0000-0000CF1F0000}"/>
    <cellStyle name="Normal 9 3 2 2 6 3 2" xfId="14985" xr:uid="{74BB6A2C-12B1-4C7B-9259-29521800AA4F}"/>
    <cellStyle name="Normal 9 3 2 2 6 4" xfId="10767" xr:uid="{9BCB685E-3A56-44CA-B12E-E1358B60F3FE}"/>
    <cellStyle name="Normal 9 3 2 2 7" xfId="2675" xr:uid="{00000000-0005-0000-0000-0000D01F0000}"/>
    <cellStyle name="Normal 9 3 2 2 7 2" xfId="6959" xr:uid="{00000000-0005-0000-0000-0000D11F0000}"/>
    <cellStyle name="Normal 9 3 2 2 7 2 2" xfId="15398" xr:uid="{5DBF2B26-90DA-49DF-B8BB-59DB7A598961}"/>
    <cellStyle name="Normal 9 3 2 2 7 3" xfId="11180" xr:uid="{4177B582-F9F0-4771-804F-9748880E13BD}"/>
    <cellStyle name="Normal 9 3 2 2 8" xfId="4894" xr:uid="{00000000-0005-0000-0000-0000D21F0000}"/>
    <cellStyle name="Normal 9 3 2 2 8 2" xfId="13333" xr:uid="{868CF8FC-6132-46D4-A4A5-544512D766F8}"/>
    <cellStyle name="Normal 9 3 2 2 9" xfId="9115" xr:uid="{128F3FFD-C7B4-4126-AA24-568D02A731B5}"/>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0D8B09E4-1109-4D36-ADA6-6C5EEB9FE855}"/>
    <cellStyle name="Normal 9 3 2 3 2 2 3" xfId="11675" xr:uid="{062D948F-1526-4B49-9679-8AD85F04AE22}"/>
    <cellStyle name="Normal 9 3 2 3 2 3" xfId="5309" xr:uid="{00000000-0005-0000-0000-0000D71F0000}"/>
    <cellStyle name="Normal 9 3 2 3 2 3 2" xfId="13748" xr:uid="{47B76573-98BC-468E-A301-B2254BFA0407}"/>
    <cellStyle name="Normal 9 3 2 3 2 4" xfId="9530" xr:uid="{4996D49A-6ABC-40A5-87DE-6F66F0ADF566}"/>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DFABEF63-EA16-4E38-B172-A2FCBCA3C962}"/>
    <cellStyle name="Normal 9 3 2 3 3 2 3" xfId="12088" xr:uid="{44327D89-23F9-49E9-91E1-A884E7145597}"/>
    <cellStyle name="Normal 9 3 2 3 3 3" xfId="5722" xr:uid="{00000000-0005-0000-0000-0000DB1F0000}"/>
    <cellStyle name="Normal 9 3 2 3 3 3 2" xfId="14161" xr:uid="{2AF3260C-AB77-4A30-B942-56ACA404BEE3}"/>
    <cellStyle name="Normal 9 3 2 3 3 4" xfId="9943" xr:uid="{26F8993F-55E5-4F05-9B84-7459C36EA0ED}"/>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F1076FB1-AAE5-4999-B870-8B9B50FAFD85}"/>
    <cellStyle name="Normal 9 3 2 3 4 2 3" xfId="12501" xr:uid="{AE072C3E-2183-463A-AAD2-B387CDDA2628}"/>
    <cellStyle name="Normal 9 3 2 3 4 3" xfId="6135" xr:uid="{00000000-0005-0000-0000-0000DF1F0000}"/>
    <cellStyle name="Normal 9 3 2 3 4 3 2" xfId="14574" xr:uid="{61E2D2B9-464C-4BD5-9F6C-11767A83636C}"/>
    <cellStyle name="Normal 9 3 2 3 4 4" xfId="10356" xr:uid="{78D89EC5-630E-4FB5-A7A0-CF186935FC45}"/>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64225DA3-A1C9-4DCC-949D-73022886F9F7}"/>
    <cellStyle name="Normal 9 3 2 3 5 2 3" xfId="12914" xr:uid="{FEF82B07-8D7B-4C64-B72B-77075EFDE957}"/>
    <cellStyle name="Normal 9 3 2 3 5 3" xfId="6548" xr:uid="{00000000-0005-0000-0000-0000E31F0000}"/>
    <cellStyle name="Normal 9 3 2 3 5 3 2" xfId="14987" xr:uid="{F15AA903-19A1-4FF4-A4AC-64D953799872}"/>
    <cellStyle name="Normal 9 3 2 3 5 4" xfId="10769" xr:uid="{3DA31C00-8517-4219-832D-64609E62AD84}"/>
    <cellStyle name="Normal 9 3 2 3 6" xfId="2677" xr:uid="{00000000-0005-0000-0000-0000E41F0000}"/>
    <cellStyle name="Normal 9 3 2 3 6 2" xfId="6961" xr:uid="{00000000-0005-0000-0000-0000E51F0000}"/>
    <cellStyle name="Normal 9 3 2 3 6 2 2" xfId="15400" xr:uid="{1BCF7DE8-EC56-48D7-A136-2181B6776F2B}"/>
    <cellStyle name="Normal 9 3 2 3 6 3" xfId="11182" xr:uid="{1EE2A2D6-72D6-408D-89ED-810F1CBAFAD4}"/>
    <cellStyle name="Normal 9 3 2 3 7" xfId="4896" xr:uid="{00000000-0005-0000-0000-0000E61F0000}"/>
    <cellStyle name="Normal 9 3 2 3 7 2" xfId="13335" xr:uid="{97EBE187-DD99-4B67-858F-B15A4D728C17}"/>
    <cellStyle name="Normal 9 3 2 3 8" xfId="9117" xr:uid="{FDD6431F-3E68-475E-890E-B672670172B9}"/>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395FC7CA-D3E7-4E2A-ADF2-D2876D81D09D}"/>
    <cellStyle name="Normal 9 3 2 4 2 3" xfId="11672" xr:uid="{9837136F-873E-4D3E-B013-7A4A1DEA1EFC}"/>
    <cellStyle name="Normal 9 3 2 4 3" xfId="5306" xr:uid="{00000000-0005-0000-0000-0000EA1F0000}"/>
    <cellStyle name="Normal 9 3 2 4 3 2" xfId="13745" xr:uid="{485C4272-0D08-4D08-A630-A6401F24D24A}"/>
    <cellStyle name="Normal 9 3 2 4 4" xfId="9527" xr:uid="{2F371445-5CA7-4BEE-A928-B676271907C3}"/>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9713D57F-DCE7-4585-8DAD-D3618F406A70}"/>
    <cellStyle name="Normal 9 3 2 5 2 3" xfId="12085" xr:uid="{E6464FA3-0B59-40A1-9373-EAE1886F4B0C}"/>
    <cellStyle name="Normal 9 3 2 5 3" xfId="5719" xr:uid="{00000000-0005-0000-0000-0000EE1F0000}"/>
    <cellStyle name="Normal 9 3 2 5 3 2" xfId="14158" xr:uid="{986F9A5F-9CDD-4B74-96AA-B5ECD377D0D0}"/>
    <cellStyle name="Normal 9 3 2 5 4" xfId="9940" xr:uid="{60855EE1-EE18-4E7E-BAF8-48EDB185042A}"/>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E0509FF7-087B-4F38-9AAC-79C9975C054F}"/>
    <cellStyle name="Normal 9 3 2 6 2 3" xfId="12498" xr:uid="{BB738F88-F3F9-4008-92C0-5052B63F1684}"/>
    <cellStyle name="Normal 9 3 2 6 3" xfId="6132" xr:uid="{00000000-0005-0000-0000-0000F21F0000}"/>
    <cellStyle name="Normal 9 3 2 6 3 2" xfId="14571" xr:uid="{0285D7B8-CC7E-45F6-AB08-D3E9E14B7BE6}"/>
    <cellStyle name="Normal 9 3 2 6 4" xfId="10353" xr:uid="{0AA1E17A-92AD-4328-BC22-55AE3952C8D2}"/>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5E6A840B-D2A0-43E2-80DF-B6718BECA257}"/>
    <cellStyle name="Normal 9 3 2 7 2 3" xfId="12911" xr:uid="{78EF9E11-77C0-4B55-B7B8-44484BAACFFB}"/>
    <cellStyle name="Normal 9 3 2 7 3" xfId="6545" xr:uid="{00000000-0005-0000-0000-0000F61F0000}"/>
    <cellStyle name="Normal 9 3 2 7 3 2" xfId="14984" xr:uid="{15DA2127-582C-4CA8-8251-51B51866750C}"/>
    <cellStyle name="Normal 9 3 2 7 4" xfId="10766" xr:uid="{CE00739F-D547-4642-9FD7-04BD67CA40AD}"/>
    <cellStyle name="Normal 9 3 2 8" xfId="2674" xr:uid="{00000000-0005-0000-0000-0000F71F0000}"/>
    <cellStyle name="Normal 9 3 2 8 2" xfId="6958" xr:uid="{00000000-0005-0000-0000-0000F81F0000}"/>
    <cellStyle name="Normal 9 3 2 8 2 2" xfId="15397" xr:uid="{E4E38D91-88A3-4025-8EB2-3D309EF0BDF9}"/>
    <cellStyle name="Normal 9 3 2 8 3" xfId="11179" xr:uid="{C7C203AD-9809-4E6B-B7E0-ED14067A4C12}"/>
    <cellStyle name="Normal 9 3 2 9" xfId="4893" xr:uid="{00000000-0005-0000-0000-0000F91F0000}"/>
    <cellStyle name="Normal 9 3 2 9 2" xfId="13332" xr:uid="{7F53AF4E-7E65-4129-9400-C04A24081A16}"/>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66286E82-2EE3-4171-9296-46B0345C6E1E}"/>
    <cellStyle name="Normal 9 3 3 2 2 2 3" xfId="11677" xr:uid="{513F048C-2A74-4A8E-8F45-030F26EDF8DA}"/>
    <cellStyle name="Normal 9 3 3 2 2 3" xfId="5311" xr:uid="{00000000-0005-0000-0000-0000FF1F0000}"/>
    <cellStyle name="Normal 9 3 3 2 2 3 2" xfId="13750" xr:uid="{E36C4F1A-0CCE-4D8B-8134-84A8B6E10FAA}"/>
    <cellStyle name="Normal 9 3 3 2 2 4" xfId="9532" xr:uid="{1519B22B-10DD-446A-8D32-32D09A754D7B}"/>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54A25E59-E106-4EAC-8956-3D154DE9E277}"/>
    <cellStyle name="Normal 9 3 3 2 3 2 3" xfId="12090" xr:uid="{03F28FA8-CE21-460B-928B-0664D7F4D79A}"/>
    <cellStyle name="Normal 9 3 3 2 3 3" xfId="5724" xr:uid="{00000000-0005-0000-0000-000003200000}"/>
    <cellStyle name="Normal 9 3 3 2 3 3 2" xfId="14163" xr:uid="{588B46B1-A50A-48BA-A70F-9F3FC7A591A9}"/>
    <cellStyle name="Normal 9 3 3 2 3 4" xfId="9945" xr:uid="{92591890-3ECC-458A-B271-D4755A76CE0A}"/>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2EAEEA47-2330-4103-A852-CDEA2938442A}"/>
    <cellStyle name="Normal 9 3 3 2 4 2 3" xfId="12503" xr:uid="{86570816-ACA6-48DB-B52F-DF72A7A4A4FE}"/>
    <cellStyle name="Normal 9 3 3 2 4 3" xfId="6137" xr:uid="{00000000-0005-0000-0000-000007200000}"/>
    <cellStyle name="Normal 9 3 3 2 4 3 2" xfId="14576" xr:uid="{D30BB58F-BCF8-4459-A620-42F02EDCF152}"/>
    <cellStyle name="Normal 9 3 3 2 4 4" xfId="10358" xr:uid="{C4FFEF33-CF0D-40BC-9B2C-7F45B7BE039C}"/>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9C79F135-5024-438E-A547-8C5EB05F4AE3}"/>
    <cellStyle name="Normal 9 3 3 2 5 2 3" xfId="12916" xr:uid="{F37F33D3-1C64-4C6C-8A24-A0B09963339B}"/>
    <cellStyle name="Normal 9 3 3 2 5 3" xfId="6550" xr:uid="{00000000-0005-0000-0000-00000B200000}"/>
    <cellStyle name="Normal 9 3 3 2 5 3 2" xfId="14989" xr:uid="{3F46C269-2C7A-407A-BF44-0DB92AAFFAFE}"/>
    <cellStyle name="Normal 9 3 3 2 5 4" xfId="10771" xr:uid="{B07A7DE6-52FB-4D52-AB71-07144761CCAB}"/>
    <cellStyle name="Normal 9 3 3 2 6" xfId="2679" xr:uid="{00000000-0005-0000-0000-00000C200000}"/>
    <cellStyle name="Normal 9 3 3 2 6 2" xfId="6963" xr:uid="{00000000-0005-0000-0000-00000D200000}"/>
    <cellStyle name="Normal 9 3 3 2 6 2 2" xfId="15402" xr:uid="{EB807FDA-0AD3-4AA2-846E-CA482E248648}"/>
    <cellStyle name="Normal 9 3 3 2 6 3" xfId="11184" xr:uid="{0B3B9217-2751-4A2F-A432-4333AB70AFA4}"/>
    <cellStyle name="Normal 9 3 3 2 7" xfId="4898" xr:uid="{00000000-0005-0000-0000-00000E200000}"/>
    <cellStyle name="Normal 9 3 3 2 7 2" xfId="13337" xr:uid="{FD434F62-A828-4244-93FA-151F4D7B45B9}"/>
    <cellStyle name="Normal 9 3 3 2 8" xfId="9119" xr:uid="{C0538A09-0DE4-4E47-94C0-71A045AC98D3}"/>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4C7E83D2-5734-4568-A9FF-878E78783B85}"/>
    <cellStyle name="Normal 9 3 3 3 2 3" xfId="11676" xr:uid="{93D1C963-B9FC-47E3-A9A6-54D5E9FAEC3E}"/>
    <cellStyle name="Normal 9 3 3 3 3" xfId="5310" xr:uid="{00000000-0005-0000-0000-000012200000}"/>
    <cellStyle name="Normal 9 3 3 3 3 2" xfId="13749" xr:uid="{2D1F2CCE-E51A-4450-B275-A91EE165A38C}"/>
    <cellStyle name="Normal 9 3 3 3 4" xfId="9531" xr:uid="{A40E8F29-DDCC-434C-9F0E-DC7209CE331C}"/>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FFF95D00-FBAC-4F9B-A0DB-1CF385E8BD61}"/>
    <cellStyle name="Normal 9 3 3 4 2 3" xfId="12089" xr:uid="{F61434E9-75AC-426D-A0A2-4C0B8D086A2A}"/>
    <cellStyle name="Normal 9 3 3 4 3" xfId="5723" xr:uid="{00000000-0005-0000-0000-000016200000}"/>
    <cellStyle name="Normal 9 3 3 4 3 2" xfId="14162" xr:uid="{039F6394-0C82-4F89-AFE1-D1E515BE7D5D}"/>
    <cellStyle name="Normal 9 3 3 4 4" xfId="9944" xr:uid="{112FD9AB-2D61-4667-BF41-DEFF21B732E5}"/>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D185A17A-EB87-4F9E-8133-D369FB41B977}"/>
    <cellStyle name="Normal 9 3 3 5 2 3" xfId="12502" xr:uid="{8F8F5934-09CD-4EDF-8BE0-DD5802DF6E59}"/>
    <cellStyle name="Normal 9 3 3 5 3" xfId="6136" xr:uid="{00000000-0005-0000-0000-00001A200000}"/>
    <cellStyle name="Normal 9 3 3 5 3 2" xfId="14575" xr:uid="{B38CD138-0F0E-46DE-98BF-8FF3DB325FF1}"/>
    <cellStyle name="Normal 9 3 3 5 4" xfId="10357" xr:uid="{9348D53E-1439-4437-801F-9E01009D74B8}"/>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42A0FD54-DD85-4599-880F-F6CE51AEF0E5}"/>
    <cellStyle name="Normal 9 3 3 6 2 3" xfId="12915" xr:uid="{EC306B6C-D1F3-4938-BA94-91C59ABF9520}"/>
    <cellStyle name="Normal 9 3 3 6 3" xfId="6549" xr:uid="{00000000-0005-0000-0000-00001E200000}"/>
    <cellStyle name="Normal 9 3 3 6 3 2" xfId="14988" xr:uid="{027CB5E2-E609-4D28-8668-2C3D551E657D}"/>
    <cellStyle name="Normal 9 3 3 6 4" xfId="10770" xr:uid="{C9518915-8559-445F-9FEE-873CF83F1BA1}"/>
    <cellStyle name="Normal 9 3 3 7" xfId="2678" xr:uid="{00000000-0005-0000-0000-00001F200000}"/>
    <cellStyle name="Normal 9 3 3 7 2" xfId="6962" xr:uid="{00000000-0005-0000-0000-000020200000}"/>
    <cellStyle name="Normal 9 3 3 7 2 2" xfId="15401" xr:uid="{1323388D-907B-425C-B602-DB95BBB86A2D}"/>
    <cellStyle name="Normal 9 3 3 7 3" xfId="11183" xr:uid="{CF675378-9E35-464E-B053-C729131C0FF2}"/>
    <cellStyle name="Normal 9 3 3 8" xfId="4897" xr:uid="{00000000-0005-0000-0000-000021200000}"/>
    <cellStyle name="Normal 9 3 3 8 2" xfId="13336" xr:uid="{6F211C5B-0FCF-434C-BDCE-55F95813332F}"/>
    <cellStyle name="Normal 9 3 3 9" xfId="9118" xr:uid="{25EA4AF9-53F9-47A6-85DD-4B3F7E0F8E8A}"/>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A6D7537B-9E73-4236-8BFC-1D31D7275332}"/>
    <cellStyle name="Normal 9 3 4 2 2 3" xfId="11678" xr:uid="{8B671B84-AB64-4AA1-BB4E-F91F81E58D3A}"/>
    <cellStyle name="Normal 9 3 4 2 3" xfId="5312" xr:uid="{00000000-0005-0000-0000-000026200000}"/>
    <cellStyle name="Normal 9 3 4 2 3 2" xfId="13751" xr:uid="{382669D5-031A-464C-9E7A-03061DCFD03B}"/>
    <cellStyle name="Normal 9 3 4 2 4" xfId="9533" xr:uid="{763CBC87-53BF-4F54-BD22-288C45E10906}"/>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9026A5EF-60A1-4FBB-B6D5-945FED580988}"/>
    <cellStyle name="Normal 9 3 4 3 2 3" xfId="12091" xr:uid="{07620238-F0F2-4D5A-B8B5-F00C28D9087E}"/>
    <cellStyle name="Normal 9 3 4 3 3" xfId="5725" xr:uid="{00000000-0005-0000-0000-00002A200000}"/>
    <cellStyle name="Normal 9 3 4 3 3 2" xfId="14164" xr:uid="{DC75F4AD-97D9-4020-8BFD-B082E4B6425C}"/>
    <cellStyle name="Normal 9 3 4 3 4" xfId="9946" xr:uid="{B9E68E34-D62C-466D-9DA9-D41A439CC975}"/>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2DEB2287-5424-4434-AC15-76CE1E82D256}"/>
    <cellStyle name="Normal 9 3 4 4 2 3" xfId="12504" xr:uid="{C70FDD79-F131-45CC-99CA-81B9A18EF8FD}"/>
    <cellStyle name="Normal 9 3 4 4 3" xfId="6138" xr:uid="{00000000-0005-0000-0000-00002E200000}"/>
    <cellStyle name="Normal 9 3 4 4 3 2" xfId="14577" xr:uid="{69124D96-724F-4899-AF13-A8AA63800501}"/>
    <cellStyle name="Normal 9 3 4 4 4" xfId="10359" xr:uid="{A44565C5-3D05-48AD-B87B-D6A925E5EF08}"/>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9290CF34-B872-41F9-8808-A165DBB73A4B}"/>
    <cellStyle name="Normal 9 3 4 5 2 3" xfId="12917" xr:uid="{1BB135C1-F2E4-46DF-B027-2A97D870C348}"/>
    <cellStyle name="Normal 9 3 4 5 3" xfId="6551" xr:uid="{00000000-0005-0000-0000-000032200000}"/>
    <cellStyle name="Normal 9 3 4 5 3 2" xfId="14990" xr:uid="{F2938662-B3E0-4904-A511-FBDD4B92B5AD}"/>
    <cellStyle name="Normal 9 3 4 5 4" xfId="10772" xr:uid="{4FD165C3-D290-4007-8590-A1DD8E6E6821}"/>
    <cellStyle name="Normal 9 3 4 6" xfId="2680" xr:uid="{00000000-0005-0000-0000-000033200000}"/>
    <cellStyle name="Normal 9 3 4 6 2" xfId="6964" xr:uid="{00000000-0005-0000-0000-000034200000}"/>
    <cellStyle name="Normal 9 3 4 6 2 2" xfId="15403" xr:uid="{0533EEB7-BCF3-43EF-965D-5F0A33B0F56D}"/>
    <cellStyle name="Normal 9 3 4 6 3" xfId="11185" xr:uid="{F1543DF1-50A0-458B-A203-A6EA5A424ACF}"/>
    <cellStyle name="Normal 9 3 4 7" xfId="4899" xr:uid="{00000000-0005-0000-0000-000035200000}"/>
    <cellStyle name="Normal 9 3 4 7 2" xfId="13338" xr:uid="{091E6CDC-BDC0-4B15-9B8C-4354EDAEE22C}"/>
    <cellStyle name="Normal 9 3 4 8" xfId="9120" xr:uid="{982E9F3D-4347-4505-812A-972091977DDB}"/>
    <cellStyle name="Normal 9 3 5" xfId="994" xr:uid="{00000000-0005-0000-0000-000036200000}"/>
    <cellStyle name="Normal 9 3 5 2" xfId="3227" xr:uid="{00000000-0005-0000-0000-000037200000}"/>
    <cellStyle name="Normal 9 3 5 2 2" xfId="7450" xr:uid="{00000000-0005-0000-0000-000038200000}"/>
    <cellStyle name="Normal 9 3 5 2 2 2" xfId="15889" xr:uid="{48CC49F4-E7C0-46AE-AB15-1EAB49B30E72}"/>
    <cellStyle name="Normal 9 3 5 2 3" xfId="11671" xr:uid="{8F6B5676-4C82-4040-8AA3-F1ACC7E198B9}"/>
    <cellStyle name="Normal 9 3 5 3" xfId="5305" xr:uid="{00000000-0005-0000-0000-000039200000}"/>
    <cellStyle name="Normal 9 3 5 3 2" xfId="13744" xr:uid="{8BDD011F-693C-4ECC-82EE-80D93111DE4A}"/>
    <cellStyle name="Normal 9 3 5 4" xfId="9526" xr:uid="{C6D90BE5-7154-4BB8-A0E0-26EB351D5D5C}"/>
    <cellStyle name="Normal 9 3 6" xfId="1410" xr:uid="{00000000-0005-0000-0000-00003A200000}"/>
    <cellStyle name="Normal 9 3 6 2" xfId="3640" xr:uid="{00000000-0005-0000-0000-00003B200000}"/>
    <cellStyle name="Normal 9 3 6 2 2" xfId="7863" xr:uid="{00000000-0005-0000-0000-00003C200000}"/>
    <cellStyle name="Normal 9 3 6 2 2 2" xfId="16302" xr:uid="{79D6EC1A-862A-4157-ACB6-4CE7C2E18FB7}"/>
    <cellStyle name="Normal 9 3 6 2 3" xfId="12084" xr:uid="{5927B8C2-AE10-411A-B8B2-0BF40A4733DF}"/>
    <cellStyle name="Normal 9 3 6 3" xfId="5718" xr:uid="{00000000-0005-0000-0000-00003D200000}"/>
    <cellStyle name="Normal 9 3 6 3 2" xfId="14157" xr:uid="{5BCB8E87-437B-49BD-8669-C6697E258443}"/>
    <cellStyle name="Normal 9 3 6 4" xfId="9939" xr:uid="{94CF3D8B-0D30-4F5B-9A60-7E4021828483}"/>
    <cellStyle name="Normal 9 3 7" xfId="1823" xr:uid="{00000000-0005-0000-0000-00003E200000}"/>
    <cellStyle name="Normal 9 3 7 2" xfId="4053" xr:uid="{00000000-0005-0000-0000-00003F200000}"/>
    <cellStyle name="Normal 9 3 7 2 2" xfId="8276" xr:uid="{00000000-0005-0000-0000-000040200000}"/>
    <cellStyle name="Normal 9 3 7 2 2 2" xfId="16715" xr:uid="{DA6663BE-C49D-4812-B000-ACAA276EEEE3}"/>
    <cellStyle name="Normal 9 3 7 2 3" xfId="12497" xr:uid="{EB508010-5AEA-4C74-9D5D-0B3CF0339451}"/>
    <cellStyle name="Normal 9 3 7 3" xfId="6131" xr:uid="{00000000-0005-0000-0000-000041200000}"/>
    <cellStyle name="Normal 9 3 7 3 2" xfId="14570" xr:uid="{00AF4740-A6D0-4A46-9BE7-BA32E6385658}"/>
    <cellStyle name="Normal 9 3 7 4" xfId="10352" xr:uid="{6910C1B3-E112-439A-BD86-2A01BFA2FD74}"/>
    <cellStyle name="Normal 9 3 8" xfId="2237" xr:uid="{00000000-0005-0000-0000-000042200000}"/>
    <cellStyle name="Normal 9 3 8 2" xfId="4466" xr:uid="{00000000-0005-0000-0000-000043200000}"/>
    <cellStyle name="Normal 9 3 8 2 2" xfId="8689" xr:uid="{00000000-0005-0000-0000-000044200000}"/>
    <cellStyle name="Normal 9 3 8 2 2 2" xfId="17128" xr:uid="{E6770B61-F77D-44EE-81F6-38EF11EF6C8D}"/>
    <cellStyle name="Normal 9 3 8 2 3" xfId="12910" xr:uid="{2026E324-60A1-4EAF-9454-E5A401EC1ED9}"/>
    <cellStyle name="Normal 9 3 8 3" xfId="6544" xr:uid="{00000000-0005-0000-0000-000045200000}"/>
    <cellStyle name="Normal 9 3 8 3 2" xfId="14983" xr:uid="{5CBACA0E-6DB0-4683-8BA5-76589BE5F4F8}"/>
    <cellStyle name="Normal 9 3 8 4" xfId="10765" xr:uid="{DE4C035B-2986-4A3F-A5EE-38CF4D3EE116}"/>
    <cellStyle name="Normal 9 3 9" xfId="2673" xr:uid="{00000000-0005-0000-0000-000046200000}"/>
    <cellStyle name="Normal 9 3 9 2" xfId="6957" xr:uid="{00000000-0005-0000-0000-000047200000}"/>
    <cellStyle name="Normal 9 3 9 2 2" xfId="15396" xr:uid="{1A4107FB-8941-4513-AFFA-9982A3BF29DC}"/>
    <cellStyle name="Normal 9 3 9 3" xfId="11178" xr:uid="{6782C4B6-0A04-4D71-8A2A-D0A7E949FC05}"/>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525F8FC6-ADCC-4A76-B157-B961AE3AA988}"/>
    <cellStyle name="Normal 9 5 2 2 2 3" xfId="11680" xr:uid="{860C8A92-741C-425C-8772-281AD061DFB8}"/>
    <cellStyle name="Normal 9 5 2 2 3" xfId="5314" xr:uid="{00000000-0005-0000-0000-00004F200000}"/>
    <cellStyle name="Normal 9 5 2 2 3 2" xfId="13753" xr:uid="{F6271BBC-A513-4238-BAF6-77A5F53049D4}"/>
    <cellStyle name="Normal 9 5 2 2 4" xfId="9535" xr:uid="{F3E87C20-C354-473F-8633-ED64D57888A6}"/>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1D35901A-CB1E-4467-9F64-5E1373BC4498}"/>
    <cellStyle name="Normal 9 5 2 3 2 3" xfId="12093" xr:uid="{8B7D0E45-5650-4CE2-B034-375711AEAF49}"/>
    <cellStyle name="Normal 9 5 2 3 3" xfId="5727" xr:uid="{00000000-0005-0000-0000-000053200000}"/>
    <cellStyle name="Normal 9 5 2 3 3 2" xfId="14166" xr:uid="{7CA80B59-BD24-4018-BD81-B3DACF7F4038}"/>
    <cellStyle name="Normal 9 5 2 3 4" xfId="9948" xr:uid="{820BF110-DD1F-470F-A5EF-F25A3AA51CEE}"/>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01B5EA9D-B67C-4618-91AC-E024D4B94A4C}"/>
    <cellStyle name="Normal 9 5 2 4 2 3" xfId="12506" xr:uid="{6C1258AA-AA07-4DA2-BFA1-03258E1735BF}"/>
    <cellStyle name="Normal 9 5 2 4 3" xfId="6140" xr:uid="{00000000-0005-0000-0000-000057200000}"/>
    <cellStyle name="Normal 9 5 2 4 3 2" xfId="14579" xr:uid="{D3258EC6-B9FE-47EA-B3CE-E6AE470607FC}"/>
    <cellStyle name="Normal 9 5 2 4 4" xfId="10361" xr:uid="{18804FDE-E6CC-4808-B5CC-F18DADA748C3}"/>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DBB0B30A-6B2D-4CA0-82D3-C5942E81903E}"/>
    <cellStyle name="Normal 9 5 2 5 2 3" xfId="12919" xr:uid="{D0621D8D-EAFB-4255-9096-226ED8785EEF}"/>
    <cellStyle name="Normal 9 5 2 5 3" xfId="6553" xr:uid="{00000000-0005-0000-0000-00005B200000}"/>
    <cellStyle name="Normal 9 5 2 5 3 2" xfId="14992" xr:uid="{93B8F10E-C74F-42C9-8FEA-83589B5A9611}"/>
    <cellStyle name="Normal 9 5 2 5 4" xfId="10774" xr:uid="{F57A4463-2971-4C7F-B899-9263575E415A}"/>
    <cellStyle name="Normal 9 5 2 6" xfId="2682" xr:uid="{00000000-0005-0000-0000-00005C200000}"/>
    <cellStyle name="Normal 9 5 2 6 2" xfId="6966" xr:uid="{00000000-0005-0000-0000-00005D200000}"/>
    <cellStyle name="Normal 9 5 2 6 2 2" xfId="15405" xr:uid="{82E1AAE9-D006-40CB-BE3F-8BC3BED76BF6}"/>
    <cellStyle name="Normal 9 5 2 6 3" xfId="11187" xr:uid="{F2ECD2B3-5146-4478-91A8-2C824E08AB5D}"/>
    <cellStyle name="Normal 9 5 2 7" xfId="4901" xr:uid="{00000000-0005-0000-0000-00005E200000}"/>
    <cellStyle name="Normal 9 5 2 7 2" xfId="13340" xr:uid="{DBB46D8D-B1B7-4398-AEE9-FDF4C068B04B}"/>
    <cellStyle name="Normal 9 5 2 8" xfId="9122" xr:uid="{D6A1B68B-E3B0-4850-8C6B-5EC1342A3B2C}"/>
    <cellStyle name="Normal 9 5 3" xfId="1003" xr:uid="{00000000-0005-0000-0000-00005F200000}"/>
    <cellStyle name="Normal 9 5 3 2" xfId="3235" xr:uid="{00000000-0005-0000-0000-000060200000}"/>
    <cellStyle name="Normal 9 5 3 2 2" xfId="7458" xr:uid="{00000000-0005-0000-0000-000061200000}"/>
    <cellStyle name="Normal 9 5 3 2 2 2" xfId="15897" xr:uid="{A0ED764D-DD07-48CE-B041-A550A298444D}"/>
    <cellStyle name="Normal 9 5 3 2 3" xfId="11679" xr:uid="{EB457B66-6005-45BF-BDF6-08BEDCEB976B}"/>
    <cellStyle name="Normal 9 5 3 3" xfId="5313" xr:uid="{00000000-0005-0000-0000-000062200000}"/>
    <cellStyle name="Normal 9 5 3 3 2" xfId="13752" xr:uid="{51AE7EBE-F1CE-4BD6-8451-3F8D0DBE2FE2}"/>
    <cellStyle name="Normal 9 5 3 4" xfId="9534" xr:uid="{1842EF28-D8F1-471D-8C2A-2D6B74289ED0}"/>
    <cellStyle name="Normal 9 5 4" xfId="1418" xr:uid="{00000000-0005-0000-0000-000063200000}"/>
    <cellStyle name="Normal 9 5 4 2" xfId="3648" xr:uid="{00000000-0005-0000-0000-000064200000}"/>
    <cellStyle name="Normal 9 5 4 2 2" xfId="7871" xr:uid="{00000000-0005-0000-0000-000065200000}"/>
    <cellStyle name="Normal 9 5 4 2 2 2" xfId="16310" xr:uid="{4902C385-56AE-45FA-B8B7-0C6E8A3D4FA3}"/>
    <cellStyle name="Normal 9 5 4 2 3" xfId="12092" xr:uid="{AC021C06-9234-452A-8D06-7206B8430F6D}"/>
    <cellStyle name="Normal 9 5 4 3" xfId="5726" xr:uid="{00000000-0005-0000-0000-000066200000}"/>
    <cellStyle name="Normal 9 5 4 3 2" xfId="14165" xr:uid="{A5B42370-A830-4130-A6BB-913E7511FD25}"/>
    <cellStyle name="Normal 9 5 4 4" xfId="9947" xr:uid="{C2D8FCAA-1B15-4C7B-94D1-7091363DE58D}"/>
    <cellStyle name="Normal 9 5 5" xfId="1831" xr:uid="{00000000-0005-0000-0000-000067200000}"/>
    <cellStyle name="Normal 9 5 5 2" xfId="4061" xr:uid="{00000000-0005-0000-0000-000068200000}"/>
    <cellStyle name="Normal 9 5 5 2 2" xfId="8284" xr:uid="{00000000-0005-0000-0000-000069200000}"/>
    <cellStyle name="Normal 9 5 5 2 2 2" xfId="16723" xr:uid="{38E3680E-7EA9-45E7-85E8-A8F1BDBF2776}"/>
    <cellStyle name="Normal 9 5 5 2 3" xfId="12505" xr:uid="{9900007A-879A-4C18-8107-349C065AB2C9}"/>
    <cellStyle name="Normal 9 5 5 3" xfId="6139" xr:uid="{00000000-0005-0000-0000-00006A200000}"/>
    <cellStyle name="Normal 9 5 5 3 2" xfId="14578" xr:uid="{838628C8-D4A2-4963-87DD-D363AC8DF7EB}"/>
    <cellStyle name="Normal 9 5 5 4" xfId="10360" xr:uid="{F3387D93-B569-4D29-B392-B0B3F7E9E279}"/>
    <cellStyle name="Normal 9 5 6" xfId="2245" xr:uid="{00000000-0005-0000-0000-00006B200000}"/>
    <cellStyle name="Normal 9 5 6 2" xfId="4474" xr:uid="{00000000-0005-0000-0000-00006C200000}"/>
    <cellStyle name="Normal 9 5 6 2 2" xfId="8697" xr:uid="{00000000-0005-0000-0000-00006D200000}"/>
    <cellStyle name="Normal 9 5 6 2 2 2" xfId="17136" xr:uid="{3661AB6B-50C0-4720-B301-87F7581136D9}"/>
    <cellStyle name="Normal 9 5 6 2 3" xfId="12918" xr:uid="{EB2A3602-D3C9-43B9-BA2E-6862D6ACCCC3}"/>
    <cellStyle name="Normal 9 5 6 3" xfId="6552" xr:uid="{00000000-0005-0000-0000-00006E200000}"/>
    <cellStyle name="Normal 9 5 6 3 2" xfId="14991" xr:uid="{E65D3231-675E-4407-B73A-CEE9D2CA2955}"/>
    <cellStyle name="Normal 9 5 6 4" xfId="10773" xr:uid="{15AAC1BD-63FE-4620-ADDB-4B14B58A6E56}"/>
    <cellStyle name="Normal 9 5 7" xfId="2681" xr:uid="{00000000-0005-0000-0000-00006F200000}"/>
    <cellStyle name="Normal 9 5 7 2" xfId="6965" xr:uid="{00000000-0005-0000-0000-000070200000}"/>
    <cellStyle name="Normal 9 5 7 2 2" xfId="15404" xr:uid="{A9CB4C65-9A17-45AD-A83B-22FD3AAF42DF}"/>
    <cellStyle name="Normal 9 5 7 3" xfId="11186" xr:uid="{28FC6878-3EC4-4287-85B5-8BE5095EA130}"/>
    <cellStyle name="Normal 9 5 8" xfId="4900" xr:uid="{00000000-0005-0000-0000-000071200000}"/>
    <cellStyle name="Normal 9 5 8 2" xfId="13339" xr:uid="{3E96253C-4089-405E-AF96-A2BD51AC84E5}"/>
    <cellStyle name="Normal 9 5 9" xfId="9121" xr:uid="{88BAD91F-C494-4CB9-8D72-096FBAF47187}"/>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C1EDEABC-DF29-4DAE-8A3C-EF6991F64963}"/>
    <cellStyle name="Normal 9 6 2 2 3" xfId="11681" xr:uid="{14F71600-36B6-4F88-8F8F-A95BA6F3BF43}"/>
    <cellStyle name="Normal 9 6 2 3" xfId="5315" xr:uid="{00000000-0005-0000-0000-000076200000}"/>
    <cellStyle name="Normal 9 6 2 3 2" xfId="13754" xr:uid="{7AD56940-5091-4C79-B5E8-160A19CF2330}"/>
    <cellStyle name="Normal 9 6 2 4" xfId="9536" xr:uid="{989C78A3-461C-4DA7-83E0-C8164CBD6B59}"/>
    <cellStyle name="Normal 9 6 3" xfId="1420" xr:uid="{00000000-0005-0000-0000-000077200000}"/>
    <cellStyle name="Normal 9 6 3 2" xfId="3650" xr:uid="{00000000-0005-0000-0000-000078200000}"/>
    <cellStyle name="Normal 9 6 3 2 2" xfId="7873" xr:uid="{00000000-0005-0000-0000-000079200000}"/>
    <cellStyle name="Normal 9 6 3 2 2 2" xfId="16312" xr:uid="{762BCD52-67ED-4354-8C27-E03FAB4B8CBF}"/>
    <cellStyle name="Normal 9 6 3 2 3" xfId="12094" xr:uid="{34A88BD0-916C-4539-8AB3-B590AB20D985}"/>
    <cellStyle name="Normal 9 6 3 3" xfId="5728" xr:uid="{00000000-0005-0000-0000-00007A200000}"/>
    <cellStyle name="Normal 9 6 3 3 2" xfId="14167" xr:uid="{106452D4-A8C3-4051-AEF1-64F458772E74}"/>
    <cellStyle name="Normal 9 6 3 4" xfId="9949" xr:uid="{7DB5AD05-7050-42D0-B3E8-BA56F32BA758}"/>
    <cellStyle name="Normal 9 6 4" xfId="1833" xr:uid="{00000000-0005-0000-0000-00007B200000}"/>
    <cellStyle name="Normal 9 6 4 2" xfId="4063" xr:uid="{00000000-0005-0000-0000-00007C200000}"/>
    <cellStyle name="Normal 9 6 4 2 2" xfId="8286" xr:uid="{00000000-0005-0000-0000-00007D200000}"/>
    <cellStyle name="Normal 9 6 4 2 2 2" xfId="16725" xr:uid="{A5703B5D-A9DD-4A8F-8541-9B6EBDF88547}"/>
    <cellStyle name="Normal 9 6 4 2 3" xfId="12507" xr:uid="{82D5E175-1E8B-4243-BC10-B109571DD34A}"/>
    <cellStyle name="Normal 9 6 4 3" xfId="6141" xr:uid="{00000000-0005-0000-0000-00007E200000}"/>
    <cellStyle name="Normal 9 6 4 3 2" xfId="14580" xr:uid="{CE3990B2-ADAC-494A-A6FC-7FD1AEF328B0}"/>
    <cellStyle name="Normal 9 6 4 4" xfId="10362" xr:uid="{1F197534-92DA-4A61-A527-54BBDED076A9}"/>
    <cellStyle name="Normal 9 6 5" xfId="2247" xr:uid="{00000000-0005-0000-0000-00007F200000}"/>
    <cellStyle name="Normal 9 6 5 2" xfId="4476" xr:uid="{00000000-0005-0000-0000-000080200000}"/>
    <cellStyle name="Normal 9 6 5 2 2" xfId="8699" xr:uid="{00000000-0005-0000-0000-000081200000}"/>
    <cellStyle name="Normal 9 6 5 2 2 2" xfId="17138" xr:uid="{0074EEF6-6D54-4496-86BB-69E1E6E59540}"/>
    <cellStyle name="Normal 9 6 5 2 3" xfId="12920" xr:uid="{955CE019-E593-4762-9FBC-EE70FBE49EF9}"/>
    <cellStyle name="Normal 9 6 5 3" xfId="6554" xr:uid="{00000000-0005-0000-0000-000082200000}"/>
    <cellStyle name="Normal 9 6 5 3 2" xfId="14993" xr:uid="{7B8E562F-01BB-47C2-9962-1C3180F36B75}"/>
    <cellStyle name="Normal 9 6 5 4" xfId="10775" xr:uid="{CE2D8B33-9A7B-422F-B49D-E36849CB374E}"/>
    <cellStyle name="Normal 9 6 6" xfId="2683" xr:uid="{00000000-0005-0000-0000-000083200000}"/>
    <cellStyle name="Normal 9 6 6 2" xfId="6967" xr:uid="{00000000-0005-0000-0000-000084200000}"/>
    <cellStyle name="Normal 9 6 6 2 2" xfId="15406" xr:uid="{7CD0D82E-F2A0-4050-A1BA-0E42A0A06089}"/>
    <cellStyle name="Normal 9 6 6 3" xfId="11188" xr:uid="{E335F781-F7DF-45F5-8D62-B1A679C7C9AE}"/>
    <cellStyle name="Normal 9 6 7" xfId="4902" xr:uid="{00000000-0005-0000-0000-000085200000}"/>
    <cellStyle name="Normal 9 6 7 2" xfId="13341" xr:uid="{80AF6FA2-8DD8-47CE-820A-0C1C2B7B1E0D}"/>
    <cellStyle name="Normal 9 6 8" xfId="9123" xr:uid="{502A0A7E-F2DB-4832-9C6E-BF4A1DB99EDA}"/>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046FD3E7-EAFC-4CA3-B638-2622CF4F8768}"/>
    <cellStyle name="Note 2 2 10 3" xfId="11269" xr:uid="{9699E2D0-1EEA-4D73-AE54-7721DAFD73D1}"/>
    <cellStyle name="Note 2 2 11" xfId="4903" xr:uid="{00000000-0005-0000-0000-000094200000}"/>
    <cellStyle name="Note 2 2 11 2" xfId="13342" xr:uid="{D2B30B9D-4DE7-43D4-B36B-D9DB704846DE}"/>
    <cellStyle name="Note 2 2 12" xfId="9124" xr:uid="{A5AECD7C-843D-4D3E-B4F1-4B12F6633BB8}"/>
    <cellStyle name="Note 2 2 2" xfId="546" xr:uid="{00000000-0005-0000-0000-000095200000}"/>
    <cellStyle name="Note 2 2 2 10" xfId="4904" xr:uid="{00000000-0005-0000-0000-000096200000}"/>
    <cellStyle name="Note 2 2 2 10 2" xfId="13343" xr:uid="{7E5D9D24-DEE9-40CC-A998-BC1369907B2A}"/>
    <cellStyle name="Note 2 2 2 11" xfId="9125" xr:uid="{00FD253D-ACEC-45F7-9447-4543861CD8C3}"/>
    <cellStyle name="Note 2 2 2 2" xfId="547" xr:uid="{00000000-0005-0000-0000-000097200000}"/>
    <cellStyle name="Note 2 2 2 2 10" xfId="9126" xr:uid="{3AF8A42D-2227-461E-B10A-CEED6CB6E3BF}"/>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B3056C02-CF33-4DDF-8081-A760AD816D6B}"/>
    <cellStyle name="Note 2 2 2 2 2 2 3" xfId="11684" xr:uid="{F6AD8D2F-ADF5-4E87-AD91-259F041E6BB0}"/>
    <cellStyle name="Note 2 2 2 2 2 3" xfId="5318" xr:uid="{00000000-0005-0000-0000-00009B200000}"/>
    <cellStyle name="Note 2 2 2 2 2 3 2" xfId="13757" xr:uid="{B6A4DB9F-0A94-4108-9FC6-A6573D6009B6}"/>
    <cellStyle name="Note 2 2 2 2 2 4" xfId="9539" xr:uid="{89918241-663A-4159-AC5B-206F48898863}"/>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2ECA98FF-E25F-469F-8E6C-635529880627}"/>
    <cellStyle name="Note 2 2 2 2 3 2 3" xfId="12097" xr:uid="{F2966861-1404-40AC-AE31-8830EC2C37D0}"/>
    <cellStyle name="Note 2 2 2 2 3 3" xfId="5731" xr:uid="{00000000-0005-0000-0000-00009F200000}"/>
    <cellStyle name="Note 2 2 2 2 3 3 2" xfId="14170" xr:uid="{4BCC242A-0866-4E4B-BB47-70148021368D}"/>
    <cellStyle name="Note 2 2 2 2 3 4" xfId="9952" xr:uid="{45EE012C-0EEB-4BA4-B992-428403A13397}"/>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D3D01C0C-3986-403E-9FCE-C84192F49A11}"/>
    <cellStyle name="Note 2 2 2 2 4 2 3" xfId="12510" xr:uid="{1B8B5003-A228-4675-AF4C-A86A4FD0DC37}"/>
    <cellStyle name="Note 2 2 2 2 4 3" xfId="6144" xr:uid="{00000000-0005-0000-0000-0000A3200000}"/>
    <cellStyle name="Note 2 2 2 2 4 3 2" xfId="14583" xr:uid="{1A35A3D1-95B1-4167-91B7-F56FDBC398EB}"/>
    <cellStyle name="Note 2 2 2 2 4 4" xfId="10365" xr:uid="{089851AF-3717-438B-915D-C29AAE1631EE}"/>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16B6F3C9-319F-4E35-9E3C-56BA0C28740F}"/>
    <cellStyle name="Note 2 2 2 2 5 2 3" xfId="12923" xr:uid="{B31AE0B4-0934-41CD-AE36-DA23E3768C5F}"/>
    <cellStyle name="Note 2 2 2 2 5 3" xfId="6557" xr:uid="{00000000-0005-0000-0000-0000A7200000}"/>
    <cellStyle name="Note 2 2 2 2 5 3 2" xfId="14996" xr:uid="{9D98B5A4-F12B-4330-90AB-62284A548C3F}"/>
    <cellStyle name="Note 2 2 2 2 5 4" xfId="10778" xr:uid="{74EA29C9-F11C-4E54-A7D7-11FACC99562F}"/>
    <cellStyle name="Note 2 2 2 2 6" xfId="2686" xr:uid="{00000000-0005-0000-0000-0000A8200000}"/>
    <cellStyle name="Note 2 2 2 2 6 2" xfId="6970" xr:uid="{00000000-0005-0000-0000-0000A9200000}"/>
    <cellStyle name="Note 2 2 2 2 6 2 2" xfId="15409" xr:uid="{1670A25F-BAC6-45D1-8C97-834ECBC3CCC0}"/>
    <cellStyle name="Note 2 2 2 2 6 3" xfId="11191" xr:uid="{A5D1AE96-9A81-4ABD-8471-0DB223A610AB}"/>
    <cellStyle name="Note 2 2 2 2 7" xfId="2745" xr:uid="{00000000-0005-0000-0000-0000AA200000}"/>
    <cellStyle name="Note 2 2 2 2 8" xfId="2826" xr:uid="{00000000-0005-0000-0000-0000AB200000}"/>
    <cellStyle name="Note 2 2 2 2 8 2" xfId="7050" xr:uid="{00000000-0005-0000-0000-0000AC200000}"/>
    <cellStyle name="Note 2 2 2 2 8 2 2" xfId="15489" xr:uid="{81DDFD36-5F58-449C-8D3E-3BA714B72966}"/>
    <cellStyle name="Note 2 2 2 2 8 3" xfId="11271" xr:uid="{BF29ACA8-045D-4170-AB75-0903417B186D}"/>
    <cellStyle name="Note 2 2 2 2 9" xfId="4905" xr:uid="{00000000-0005-0000-0000-0000AD200000}"/>
    <cellStyle name="Note 2 2 2 2 9 2" xfId="13344" xr:uid="{996EFB5B-3F0C-4773-A5E9-9E79E69A4299}"/>
    <cellStyle name="Note 2 2 2 3" xfId="1007" xr:uid="{00000000-0005-0000-0000-0000AE200000}"/>
    <cellStyle name="Note 2 2 2 3 2" xfId="3239" xr:uid="{00000000-0005-0000-0000-0000AF200000}"/>
    <cellStyle name="Note 2 2 2 3 2 2" xfId="7462" xr:uid="{00000000-0005-0000-0000-0000B0200000}"/>
    <cellStyle name="Note 2 2 2 3 2 2 2" xfId="15901" xr:uid="{6F227781-F59B-4614-B867-53FB61216B60}"/>
    <cellStyle name="Note 2 2 2 3 2 3" xfId="11683" xr:uid="{B4BE5C41-8DB6-4456-B3D6-82FC0E2E99A9}"/>
    <cellStyle name="Note 2 2 2 3 3" xfId="5317" xr:uid="{00000000-0005-0000-0000-0000B1200000}"/>
    <cellStyle name="Note 2 2 2 3 3 2" xfId="13756" xr:uid="{CB849C30-5E10-4C5A-927F-F8BD261CE4B9}"/>
    <cellStyle name="Note 2 2 2 3 4" xfId="9538" xr:uid="{94C46F03-9F70-4BD4-AD8D-A57FFA7953CA}"/>
    <cellStyle name="Note 2 2 2 4" xfId="1422" xr:uid="{00000000-0005-0000-0000-0000B2200000}"/>
    <cellStyle name="Note 2 2 2 4 2" xfId="3652" xr:uid="{00000000-0005-0000-0000-0000B3200000}"/>
    <cellStyle name="Note 2 2 2 4 2 2" xfId="7875" xr:uid="{00000000-0005-0000-0000-0000B4200000}"/>
    <cellStyle name="Note 2 2 2 4 2 2 2" xfId="16314" xr:uid="{7D3AE763-209C-4379-B3B1-7742B7B001E4}"/>
    <cellStyle name="Note 2 2 2 4 2 3" xfId="12096" xr:uid="{7919A876-91FA-47F4-84AA-0C1F4B5C4D09}"/>
    <cellStyle name="Note 2 2 2 4 3" xfId="5730" xr:uid="{00000000-0005-0000-0000-0000B5200000}"/>
    <cellStyle name="Note 2 2 2 4 3 2" xfId="14169" xr:uid="{D28ED015-3D60-4303-992A-603389514FBB}"/>
    <cellStyle name="Note 2 2 2 4 4" xfId="9951" xr:uid="{B1C79471-5823-48F5-9796-ABDD9CE5F927}"/>
    <cellStyle name="Note 2 2 2 5" xfId="1836" xr:uid="{00000000-0005-0000-0000-0000B6200000}"/>
    <cellStyle name="Note 2 2 2 5 2" xfId="4065" xr:uid="{00000000-0005-0000-0000-0000B7200000}"/>
    <cellStyle name="Note 2 2 2 5 2 2" xfId="8288" xr:uid="{00000000-0005-0000-0000-0000B8200000}"/>
    <cellStyle name="Note 2 2 2 5 2 2 2" xfId="16727" xr:uid="{82755173-D09D-435D-A38A-448087ADE227}"/>
    <cellStyle name="Note 2 2 2 5 2 3" xfId="12509" xr:uid="{4E98B1A0-75EB-4106-A86F-1E15810A1525}"/>
    <cellStyle name="Note 2 2 2 5 3" xfId="6143" xr:uid="{00000000-0005-0000-0000-0000B9200000}"/>
    <cellStyle name="Note 2 2 2 5 3 2" xfId="14582" xr:uid="{3EB6B88B-8D39-452D-A459-8EEA390272A0}"/>
    <cellStyle name="Note 2 2 2 5 4" xfId="10364" xr:uid="{4AEEA59E-9809-4292-99EB-667FDCB5C24A}"/>
    <cellStyle name="Note 2 2 2 6" xfId="2249" xr:uid="{00000000-0005-0000-0000-0000BA200000}"/>
    <cellStyle name="Note 2 2 2 6 2" xfId="4478" xr:uid="{00000000-0005-0000-0000-0000BB200000}"/>
    <cellStyle name="Note 2 2 2 6 2 2" xfId="8701" xr:uid="{00000000-0005-0000-0000-0000BC200000}"/>
    <cellStyle name="Note 2 2 2 6 2 2 2" xfId="17140" xr:uid="{D49B5AB3-5CA5-4CF9-88AD-42C0D36652DC}"/>
    <cellStyle name="Note 2 2 2 6 2 3" xfId="12922" xr:uid="{CD59CC25-8ECE-43EA-8B9B-99C5157D6BF9}"/>
    <cellStyle name="Note 2 2 2 6 3" xfId="6556" xr:uid="{00000000-0005-0000-0000-0000BD200000}"/>
    <cellStyle name="Note 2 2 2 6 3 2" xfId="14995" xr:uid="{75131266-8C99-41EF-BBCB-651B00A6FCDA}"/>
    <cellStyle name="Note 2 2 2 6 4" xfId="10777" xr:uid="{977F95A3-F2A0-4792-BE36-FF073063BD84}"/>
    <cellStyle name="Note 2 2 2 7" xfId="2685" xr:uid="{00000000-0005-0000-0000-0000BE200000}"/>
    <cellStyle name="Note 2 2 2 7 2" xfId="6969" xr:uid="{00000000-0005-0000-0000-0000BF200000}"/>
    <cellStyle name="Note 2 2 2 7 2 2" xfId="15408" xr:uid="{E9D92A47-6306-4BC6-A0A4-0150A5660A7B}"/>
    <cellStyle name="Note 2 2 2 7 3" xfId="11190" xr:uid="{1B7A6731-8147-405A-9996-BD86552690FD}"/>
    <cellStyle name="Note 2 2 2 8" xfId="2744" xr:uid="{00000000-0005-0000-0000-0000C0200000}"/>
    <cellStyle name="Note 2 2 2 9" xfId="2825" xr:uid="{00000000-0005-0000-0000-0000C1200000}"/>
    <cellStyle name="Note 2 2 2 9 2" xfId="7049" xr:uid="{00000000-0005-0000-0000-0000C2200000}"/>
    <cellStyle name="Note 2 2 2 9 2 2" xfId="15488" xr:uid="{1F6B42CB-1218-4791-AD54-5F9F126EA68A}"/>
    <cellStyle name="Note 2 2 2 9 3" xfId="11270" xr:uid="{554C9E7C-97F4-4CB7-BA2B-C2A9ED7DDD2E}"/>
    <cellStyle name="Note 2 2 3" xfId="548" xr:uid="{00000000-0005-0000-0000-0000C3200000}"/>
    <cellStyle name="Note 2 2 3 10" xfId="9127" xr:uid="{4BD4EEFA-3F57-4688-A3B9-10AC5B330B49}"/>
    <cellStyle name="Note 2 2 3 2" xfId="1009" xr:uid="{00000000-0005-0000-0000-0000C4200000}"/>
    <cellStyle name="Note 2 2 3 2 2" xfId="3241" xr:uid="{00000000-0005-0000-0000-0000C5200000}"/>
    <cellStyle name="Note 2 2 3 2 2 2" xfId="7464" xr:uid="{00000000-0005-0000-0000-0000C6200000}"/>
    <cellStyle name="Note 2 2 3 2 2 2 2" xfId="15903" xr:uid="{C59ED3A1-00C3-4F29-B5B5-8E324C0791B5}"/>
    <cellStyle name="Note 2 2 3 2 2 3" xfId="11685" xr:uid="{E695D62D-FA1B-4E4B-94D2-C24AE572EABC}"/>
    <cellStyle name="Note 2 2 3 2 3" xfId="5319" xr:uid="{00000000-0005-0000-0000-0000C7200000}"/>
    <cellStyle name="Note 2 2 3 2 3 2" xfId="13758" xr:uid="{6FFBE58C-E653-4C87-A36B-22FBC87859B2}"/>
    <cellStyle name="Note 2 2 3 2 4" xfId="9540" xr:uid="{048663B8-E938-4349-AFB3-3A79C21BE134}"/>
    <cellStyle name="Note 2 2 3 3" xfId="1424" xr:uid="{00000000-0005-0000-0000-0000C8200000}"/>
    <cellStyle name="Note 2 2 3 3 2" xfId="3654" xr:uid="{00000000-0005-0000-0000-0000C9200000}"/>
    <cellStyle name="Note 2 2 3 3 2 2" xfId="7877" xr:uid="{00000000-0005-0000-0000-0000CA200000}"/>
    <cellStyle name="Note 2 2 3 3 2 2 2" xfId="16316" xr:uid="{DA86DDB6-F4A7-49DC-A2C8-3D0DE598BA5E}"/>
    <cellStyle name="Note 2 2 3 3 2 3" xfId="12098" xr:uid="{CE92AC52-2A0A-428F-9D46-B0D819C64F4E}"/>
    <cellStyle name="Note 2 2 3 3 3" xfId="5732" xr:uid="{00000000-0005-0000-0000-0000CB200000}"/>
    <cellStyle name="Note 2 2 3 3 3 2" xfId="14171" xr:uid="{262364C8-093F-46C1-A79A-630EA820D208}"/>
    <cellStyle name="Note 2 2 3 3 4" xfId="9953" xr:uid="{824C9389-9A1A-43C0-BB6C-BAF9B78C57CF}"/>
    <cellStyle name="Note 2 2 3 4" xfId="1838" xr:uid="{00000000-0005-0000-0000-0000CC200000}"/>
    <cellStyle name="Note 2 2 3 4 2" xfId="4067" xr:uid="{00000000-0005-0000-0000-0000CD200000}"/>
    <cellStyle name="Note 2 2 3 4 2 2" xfId="8290" xr:uid="{00000000-0005-0000-0000-0000CE200000}"/>
    <cellStyle name="Note 2 2 3 4 2 2 2" xfId="16729" xr:uid="{46BCB5B7-B8F4-4F83-A4FC-C72A271AEE9A}"/>
    <cellStyle name="Note 2 2 3 4 2 3" xfId="12511" xr:uid="{70956199-6497-4455-B720-912DF029BC9B}"/>
    <cellStyle name="Note 2 2 3 4 3" xfId="6145" xr:uid="{00000000-0005-0000-0000-0000CF200000}"/>
    <cellStyle name="Note 2 2 3 4 3 2" xfId="14584" xr:uid="{5AE1D697-3624-4652-BC75-9B95F1DBA452}"/>
    <cellStyle name="Note 2 2 3 4 4" xfId="10366" xr:uid="{AD59FD68-B345-418F-B03C-774FC11C6643}"/>
    <cellStyle name="Note 2 2 3 5" xfId="2251" xr:uid="{00000000-0005-0000-0000-0000D0200000}"/>
    <cellStyle name="Note 2 2 3 5 2" xfId="4480" xr:uid="{00000000-0005-0000-0000-0000D1200000}"/>
    <cellStyle name="Note 2 2 3 5 2 2" xfId="8703" xr:uid="{00000000-0005-0000-0000-0000D2200000}"/>
    <cellStyle name="Note 2 2 3 5 2 2 2" xfId="17142" xr:uid="{E4E46E0C-229A-4755-B260-CB88BA764D47}"/>
    <cellStyle name="Note 2 2 3 5 2 3" xfId="12924" xr:uid="{35BFB50B-70F8-4A10-BBD4-5F00D63BB834}"/>
    <cellStyle name="Note 2 2 3 5 3" xfId="6558" xr:uid="{00000000-0005-0000-0000-0000D3200000}"/>
    <cellStyle name="Note 2 2 3 5 3 2" xfId="14997" xr:uid="{BA6904C6-546B-4AF4-B0BF-39145EF3C337}"/>
    <cellStyle name="Note 2 2 3 5 4" xfId="10779" xr:uid="{213D8326-D64C-46CF-A322-D53DCE8994EA}"/>
    <cellStyle name="Note 2 2 3 6" xfId="2687" xr:uid="{00000000-0005-0000-0000-0000D4200000}"/>
    <cellStyle name="Note 2 2 3 6 2" xfId="6971" xr:uid="{00000000-0005-0000-0000-0000D5200000}"/>
    <cellStyle name="Note 2 2 3 6 2 2" xfId="15410" xr:uid="{985C248D-D373-4116-86F4-85AD1523DBDE}"/>
    <cellStyle name="Note 2 2 3 6 3" xfId="11192" xr:uid="{B5AA4258-43F9-413D-8372-825DF4439BAC}"/>
    <cellStyle name="Note 2 2 3 7" xfId="2746" xr:uid="{00000000-0005-0000-0000-0000D6200000}"/>
    <cellStyle name="Note 2 2 3 8" xfId="2827" xr:uid="{00000000-0005-0000-0000-0000D7200000}"/>
    <cellStyle name="Note 2 2 3 8 2" xfId="7051" xr:uid="{00000000-0005-0000-0000-0000D8200000}"/>
    <cellStyle name="Note 2 2 3 8 2 2" xfId="15490" xr:uid="{DDA5AC4D-B3A2-4421-9FE2-F985C4BCDC49}"/>
    <cellStyle name="Note 2 2 3 8 3" xfId="11272" xr:uid="{57DF63F6-F66B-48FF-ABCD-8F74A6E6750A}"/>
    <cellStyle name="Note 2 2 3 9" xfId="4906" xr:uid="{00000000-0005-0000-0000-0000D9200000}"/>
    <cellStyle name="Note 2 2 3 9 2" xfId="13345" xr:uid="{D238F6AB-526B-4D8F-B0CE-ED4DA182AB6B}"/>
    <cellStyle name="Note 2 2 4" xfId="1006" xr:uid="{00000000-0005-0000-0000-0000DA200000}"/>
    <cellStyle name="Note 2 2 4 2" xfId="3238" xr:uid="{00000000-0005-0000-0000-0000DB200000}"/>
    <cellStyle name="Note 2 2 4 2 2" xfId="7461" xr:uid="{00000000-0005-0000-0000-0000DC200000}"/>
    <cellStyle name="Note 2 2 4 2 2 2" xfId="15900" xr:uid="{9DE5C8C1-9D07-4CC2-90BA-361A2E1483EC}"/>
    <cellStyle name="Note 2 2 4 2 3" xfId="11682" xr:uid="{6373915D-6063-4B50-B092-8CDC06028AC1}"/>
    <cellStyle name="Note 2 2 4 3" xfId="5316" xr:uid="{00000000-0005-0000-0000-0000DD200000}"/>
    <cellStyle name="Note 2 2 4 3 2" xfId="13755" xr:uid="{6A4073FB-484B-4596-9579-896512251E87}"/>
    <cellStyle name="Note 2 2 4 4" xfId="9537" xr:uid="{F342FF00-4E12-4DA2-ACE6-948D5C5F9468}"/>
    <cellStyle name="Note 2 2 5" xfId="1421" xr:uid="{00000000-0005-0000-0000-0000DE200000}"/>
    <cellStyle name="Note 2 2 5 2" xfId="3651" xr:uid="{00000000-0005-0000-0000-0000DF200000}"/>
    <cellStyle name="Note 2 2 5 2 2" xfId="7874" xr:uid="{00000000-0005-0000-0000-0000E0200000}"/>
    <cellStyle name="Note 2 2 5 2 2 2" xfId="16313" xr:uid="{2F7E9A98-CCA8-4A5A-BFB4-9FFCDAF2B15F}"/>
    <cellStyle name="Note 2 2 5 2 3" xfId="12095" xr:uid="{0CF61F7B-6FE6-4D5F-A25B-32666849B972}"/>
    <cellStyle name="Note 2 2 5 3" xfId="5729" xr:uid="{00000000-0005-0000-0000-0000E1200000}"/>
    <cellStyle name="Note 2 2 5 3 2" xfId="14168" xr:uid="{01C0203F-A045-46CE-8612-B284C0CAF81B}"/>
    <cellStyle name="Note 2 2 5 4" xfId="9950" xr:uid="{FE444672-65DD-4667-BA44-063EB4E90FD7}"/>
    <cellStyle name="Note 2 2 6" xfId="1835" xr:uid="{00000000-0005-0000-0000-0000E2200000}"/>
    <cellStyle name="Note 2 2 6 2" xfId="4064" xr:uid="{00000000-0005-0000-0000-0000E3200000}"/>
    <cellStyle name="Note 2 2 6 2 2" xfId="8287" xr:uid="{00000000-0005-0000-0000-0000E4200000}"/>
    <cellStyle name="Note 2 2 6 2 2 2" xfId="16726" xr:uid="{065E9055-0C6F-49F9-96AD-F76AD53E42E0}"/>
    <cellStyle name="Note 2 2 6 2 3" xfId="12508" xr:uid="{5478DE59-7B16-4EEA-AEB8-4368D73FEAAC}"/>
    <cellStyle name="Note 2 2 6 3" xfId="6142" xr:uid="{00000000-0005-0000-0000-0000E5200000}"/>
    <cellStyle name="Note 2 2 6 3 2" xfId="14581" xr:uid="{5D2BC181-21D0-4942-9A47-732134B19FB8}"/>
    <cellStyle name="Note 2 2 6 4" xfId="10363" xr:uid="{ACB3BAFA-6F87-40E8-8C20-8CF90F36A3AB}"/>
    <cellStyle name="Note 2 2 7" xfId="2248" xr:uid="{00000000-0005-0000-0000-0000E6200000}"/>
    <cellStyle name="Note 2 2 7 2" xfId="4477" xr:uid="{00000000-0005-0000-0000-0000E7200000}"/>
    <cellStyle name="Note 2 2 7 2 2" xfId="8700" xr:uid="{00000000-0005-0000-0000-0000E8200000}"/>
    <cellStyle name="Note 2 2 7 2 2 2" xfId="17139" xr:uid="{0006AE2B-EE63-4679-8C00-8850C8D5F2CA}"/>
    <cellStyle name="Note 2 2 7 2 3" xfId="12921" xr:uid="{64B8FAA3-5110-4353-9390-B30B27B1B6AB}"/>
    <cellStyle name="Note 2 2 7 3" xfId="6555" xr:uid="{00000000-0005-0000-0000-0000E9200000}"/>
    <cellStyle name="Note 2 2 7 3 2" xfId="14994" xr:uid="{497A5C76-34E7-45EC-B801-1D775BE721A3}"/>
    <cellStyle name="Note 2 2 7 4" xfId="10776" xr:uid="{EC5D66A0-9C3F-43A3-A1DC-977BD60FF514}"/>
    <cellStyle name="Note 2 2 8" xfId="2684" xr:uid="{00000000-0005-0000-0000-0000EA200000}"/>
    <cellStyle name="Note 2 2 8 2" xfId="6968" xr:uid="{00000000-0005-0000-0000-0000EB200000}"/>
    <cellStyle name="Note 2 2 8 2 2" xfId="15407" xr:uid="{34F2B691-AB3F-4480-986D-A52AB1ADDF73}"/>
    <cellStyle name="Note 2 2 8 3" xfId="11189" xr:uid="{B3D53BEE-9CBC-4046-AE05-D5A2DE13CE4F}"/>
    <cellStyle name="Note 2 2 9" xfId="2743" xr:uid="{00000000-0005-0000-0000-0000EC200000}"/>
    <cellStyle name="Note 2 3" xfId="549" xr:uid="{00000000-0005-0000-0000-0000ED200000}"/>
    <cellStyle name="Note 2 3 10" xfId="4907" xr:uid="{00000000-0005-0000-0000-0000EE200000}"/>
    <cellStyle name="Note 2 3 10 2" xfId="13346" xr:uid="{A1752C99-F1E1-4FEF-98C4-397C509266A7}"/>
    <cellStyle name="Note 2 3 11" xfId="9128" xr:uid="{E2F281B6-AC9B-44D8-BBAD-55C871704B19}"/>
    <cellStyle name="Note 2 3 2" xfId="550" xr:uid="{00000000-0005-0000-0000-0000EF200000}"/>
    <cellStyle name="Note 2 3 2 10" xfId="9129" xr:uid="{7A70BEA1-0F91-4727-BB06-1959274D9F0B}"/>
    <cellStyle name="Note 2 3 2 2" xfId="1011" xr:uid="{00000000-0005-0000-0000-0000F0200000}"/>
    <cellStyle name="Note 2 3 2 2 2" xfId="3243" xr:uid="{00000000-0005-0000-0000-0000F1200000}"/>
    <cellStyle name="Note 2 3 2 2 2 2" xfId="7466" xr:uid="{00000000-0005-0000-0000-0000F2200000}"/>
    <cellStyle name="Note 2 3 2 2 2 2 2" xfId="15905" xr:uid="{6441B586-3D51-4ADA-B0E1-648BB4D84802}"/>
    <cellStyle name="Note 2 3 2 2 2 3" xfId="11687" xr:uid="{194260F0-F859-4D47-B51A-54979DD85E7B}"/>
    <cellStyle name="Note 2 3 2 2 3" xfId="5321" xr:uid="{00000000-0005-0000-0000-0000F3200000}"/>
    <cellStyle name="Note 2 3 2 2 3 2" xfId="13760" xr:uid="{1CB4D6F6-4F9E-4726-9364-0DECC1B135D1}"/>
    <cellStyle name="Note 2 3 2 2 4" xfId="9542" xr:uid="{E7A7CDE0-F18C-4330-BBFC-7F0BF5F3436B}"/>
    <cellStyle name="Note 2 3 2 3" xfId="1426" xr:uid="{00000000-0005-0000-0000-0000F4200000}"/>
    <cellStyle name="Note 2 3 2 3 2" xfId="3656" xr:uid="{00000000-0005-0000-0000-0000F5200000}"/>
    <cellStyle name="Note 2 3 2 3 2 2" xfId="7879" xr:uid="{00000000-0005-0000-0000-0000F6200000}"/>
    <cellStyle name="Note 2 3 2 3 2 2 2" xfId="16318" xr:uid="{869C0B33-8DA1-42EE-B84C-E778673178D6}"/>
    <cellStyle name="Note 2 3 2 3 2 3" xfId="12100" xr:uid="{30E3A841-B5D4-4DA0-ACB6-68EACC9B1B71}"/>
    <cellStyle name="Note 2 3 2 3 3" xfId="5734" xr:uid="{00000000-0005-0000-0000-0000F7200000}"/>
    <cellStyle name="Note 2 3 2 3 3 2" xfId="14173" xr:uid="{AC26DBD0-EF9F-40F9-ABC4-5F35BB551280}"/>
    <cellStyle name="Note 2 3 2 3 4" xfId="9955" xr:uid="{D42CCA2C-C35F-4A51-A160-2F282780DAAF}"/>
    <cellStyle name="Note 2 3 2 4" xfId="1840" xr:uid="{00000000-0005-0000-0000-0000F8200000}"/>
    <cellStyle name="Note 2 3 2 4 2" xfId="4069" xr:uid="{00000000-0005-0000-0000-0000F9200000}"/>
    <cellStyle name="Note 2 3 2 4 2 2" xfId="8292" xr:uid="{00000000-0005-0000-0000-0000FA200000}"/>
    <cellStyle name="Note 2 3 2 4 2 2 2" xfId="16731" xr:uid="{C5D4D92B-D300-4FF8-A9EC-90A825DE1BB9}"/>
    <cellStyle name="Note 2 3 2 4 2 3" xfId="12513" xr:uid="{B3005C85-46ED-445E-B8B8-2969C5FC14A9}"/>
    <cellStyle name="Note 2 3 2 4 3" xfId="6147" xr:uid="{00000000-0005-0000-0000-0000FB200000}"/>
    <cellStyle name="Note 2 3 2 4 3 2" xfId="14586" xr:uid="{D020EC26-12C3-4793-92C3-5E2CFA979EAC}"/>
    <cellStyle name="Note 2 3 2 4 4" xfId="10368" xr:uid="{7021DB61-FF0B-4AB7-A9D2-6998418163F4}"/>
    <cellStyle name="Note 2 3 2 5" xfId="2253" xr:uid="{00000000-0005-0000-0000-0000FC200000}"/>
    <cellStyle name="Note 2 3 2 5 2" xfId="4482" xr:uid="{00000000-0005-0000-0000-0000FD200000}"/>
    <cellStyle name="Note 2 3 2 5 2 2" xfId="8705" xr:uid="{00000000-0005-0000-0000-0000FE200000}"/>
    <cellStyle name="Note 2 3 2 5 2 2 2" xfId="17144" xr:uid="{863162DE-B8B5-4F7F-9CC1-1E3A04EA1C03}"/>
    <cellStyle name="Note 2 3 2 5 2 3" xfId="12926" xr:uid="{1387CB3A-A487-4022-A3AD-C4CDB0225E34}"/>
    <cellStyle name="Note 2 3 2 5 3" xfId="6560" xr:uid="{00000000-0005-0000-0000-0000FF200000}"/>
    <cellStyle name="Note 2 3 2 5 3 2" xfId="14999" xr:uid="{8F8DB8D5-D5FB-45AA-9D53-7C7338A882CA}"/>
    <cellStyle name="Note 2 3 2 5 4" xfId="10781" xr:uid="{B47DED82-9DD3-427B-AFFF-D1AC5309A7E1}"/>
    <cellStyle name="Note 2 3 2 6" xfId="2689" xr:uid="{00000000-0005-0000-0000-000000210000}"/>
    <cellStyle name="Note 2 3 2 6 2" xfId="6973" xr:uid="{00000000-0005-0000-0000-000001210000}"/>
    <cellStyle name="Note 2 3 2 6 2 2" xfId="15412" xr:uid="{01429783-A0D3-4554-BBC5-4C8EF0DB5140}"/>
    <cellStyle name="Note 2 3 2 6 3" xfId="11194" xr:uid="{9CAB71FA-EC17-4F9F-81E2-58E0B8D9FF47}"/>
    <cellStyle name="Note 2 3 2 7" xfId="2748" xr:uid="{00000000-0005-0000-0000-000002210000}"/>
    <cellStyle name="Note 2 3 2 8" xfId="2829" xr:uid="{00000000-0005-0000-0000-000003210000}"/>
    <cellStyle name="Note 2 3 2 8 2" xfId="7053" xr:uid="{00000000-0005-0000-0000-000004210000}"/>
    <cellStyle name="Note 2 3 2 8 2 2" xfId="15492" xr:uid="{5DB9B655-758F-44C9-B5EC-F387D9005817}"/>
    <cellStyle name="Note 2 3 2 8 3" xfId="11274" xr:uid="{3A207956-2D5A-491B-8982-49266BA4EFAC}"/>
    <cellStyle name="Note 2 3 2 9" xfId="4908" xr:uid="{00000000-0005-0000-0000-000005210000}"/>
    <cellStyle name="Note 2 3 2 9 2" xfId="13347" xr:uid="{61A24849-EDFD-445B-A9F4-F471B80FF60E}"/>
    <cellStyle name="Note 2 3 3" xfId="1010" xr:uid="{00000000-0005-0000-0000-000006210000}"/>
    <cellStyle name="Note 2 3 3 2" xfId="3242" xr:uid="{00000000-0005-0000-0000-000007210000}"/>
    <cellStyle name="Note 2 3 3 2 2" xfId="7465" xr:uid="{00000000-0005-0000-0000-000008210000}"/>
    <cellStyle name="Note 2 3 3 2 2 2" xfId="15904" xr:uid="{BF9B1FC3-24E6-4343-BE31-1F5DA18A9CF8}"/>
    <cellStyle name="Note 2 3 3 2 3" xfId="11686" xr:uid="{7BE70106-6378-48B4-97D0-A62D3ACE4755}"/>
    <cellStyle name="Note 2 3 3 3" xfId="5320" xr:uid="{00000000-0005-0000-0000-000009210000}"/>
    <cellStyle name="Note 2 3 3 3 2" xfId="13759" xr:uid="{35C3DD64-4289-4A70-8120-35CA7F90C5C9}"/>
    <cellStyle name="Note 2 3 3 4" xfId="9541" xr:uid="{523FEE00-8FE6-45E8-A7FE-4E3D7C615D66}"/>
    <cellStyle name="Note 2 3 4" xfId="1425" xr:uid="{00000000-0005-0000-0000-00000A210000}"/>
    <cellStyle name="Note 2 3 4 2" xfId="3655" xr:uid="{00000000-0005-0000-0000-00000B210000}"/>
    <cellStyle name="Note 2 3 4 2 2" xfId="7878" xr:uid="{00000000-0005-0000-0000-00000C210000}"/>
    <cellStyle name="Note 2 3 4 2 2 2" xfId="16317" xr:uid="{58021255-3E72-4370-B76D-350EB8FA2A94}"/>
    <cellStyle name="Note 2 3 4 2 3" xfId="12099" xr:uid="{0C5750FF-7142-4632-B73A-DB90ED265261}"/>
    <cellStyle name="Note 2 3 4 3" xfId="5733" xr:uid="{00000000-0005-0000-0000-00000D210000}"/>
    <cellStyle name="Note 2 3 4 3 2" xfId="14172" xr:uid="{0F086C35-A839-4933-A41A-D329C560D0CA}"/>
    <cellStyle name="Note 2 3 4 4" xfId="9954" xr:uid="{39C4AEAC-7FAF-4888-9E2C-C0EC39925BBD}"/>
    <cellStyle name="Note 2 3 5" xfId="1839" xr:uid="{00000000-0005-0000-0000-00000E210000}"/>
    <cellStyle name="Note 2 3 5 2" xfId="4068" xr:uid="{00000000-0005-0000-0000-00000F210000}"/>
    <cellStyle name="Note 2 3 5 2 2" xfId="8291" xr:uid="{00000000-0005-0000-0000-000010210000}"/>
    <cellStyle name="Note 2 3 5 2 2 2" xfId="16730" xr:uid="{5FA3C9F3-CEAC-44B9-B887-064028A10697}"/>
    <cellStyle name="Note 2 3 5 2 3" xfId="12512" xr:uid="{604D9433-FAF7-438E-A1CB-9CC141893D3A}"/>
    <cellStyle name="Note 2 3 5 3" xfId="6146" xr:uid="{00000000-0005-0000-0000-000011210000}"/>
    <cellStyle name="Note 2 3 5 3 2" xfId="14585" xr:uid="{B4EBB9B9-04D0-404E-9C11-C318604F62F8}"/>
    <cellStyle name="Note 2 3 5 4" xfId="10367" xr:uid="{0E825E30-CE20-47A6-93BA-F19DF3A97275}"/>
    <cellStyle name="Note 2 3 6" xfId="2252" xr:uid="{00000000-0005-0000-0000-000012210000}"/>
    <cellStyle name="Note 2 3 6 2" xfId="4481" xr:uid="{00000000-0005-0000-0000-000013210000}"/>
    <cellStyle name="Note 2 3 6 2 2" xfId="8704" xr:uid="{00000000-0005-0000-0000-000014210000}"/>
    <cellStyle name="Note 2 3 6 2 2 2" xfId="17143" xr:uid="{2DA3A9B0-8FBB-4791-A3AD-3724979829C9}"/>
    <cellStyle name="Note 2 3 6 2 3" xfId="12925" xr:uid="{66DF9BCA-1270-426B-82AB-10DA5C37DA77}"/>
    <cellStyle name="Note 2 3 6 3" xfId="6559" xr:uid="{00000000-0005-0000-0000-000015210000}"/>
    <cellStyle name="Note 2 3 6 3 2" xfId="14998" xr:uid="{A147DE26-51C5-470D-AC54-097444F48970}"/>
    <cellStyle name="Note 2 3 6 4" xfId="10780" xr:uid="{37F1BEE1-C054-43D0-AAC5-BCE01807497D}"/>
    <cellStyle name="Note 2 3 7" xfId="2688" xr:uid="{00000000-0005-0000-0000-000016210000}"/>
    <cellStyle name="Note 2 3 7 2" xfId="6972" xr:uid="{00000000-0005-0000-0000-000017210000}"/>
    <cellStyle name="Note 2 3 7 2 2" xfId="15411" xr:uid="{C246896C-8E5A-4A3C-A9D3-5481E391EFA8}"/>
    <cellStyle name="Note 2 3 7 3" xfId="11193" xr:uid="{83324676-A7E5-4887-BB25-87404D274C16}"/>
    <cellStyle name="Note 2 3 8" xfId="2747" xr:uid="{00000000-0005-0000-0000-000018210000}"/>
    <cellStyle name="Note 2 3 9" xfId="2828" xr:uid="{00000000-0005-0000-0000-000019210000}"/>
    <cellStyle name="Note 2 3 9 2" xfId="7052" xr:uid="{00000000-0005-0000-0000-00001A210000}"/>
    <cellStyle name="Note 2 3 9 2 2" xfId="15491" xr:uid="{39DB0869-FAD0-4A24-B7F2-BD4A3FF1FD56}"/>
    <cellStyle name="Note 2 3 9 3" xfId="11273" xr:uid="{1139E353-6D19-484D-BF47-4C6D2DC8E3EC}"/>
    <cellStyle name="Note 2 4" xfId="551" xr:uid="{00000000-0005-0000-0000-00001B210000}"/>
    <cellStyle name="Note 2 4 10" xfId="9130" xr:uid="{A1EC3B34-464F-45C8-8764-F046C91CBE3C}"/>
    <cellStyle name="Note 2 4 2" xfId="1012" xr:uid="{00000000-0005-0000-0000-00001C210000}"/>
    <cellStyle name="Note 2 4 2 2" xfId="3244" xr:uid="{00000000-0005-0000-0000-00001D210000}"/>
    <cellStyle name="Note 2 4 2 2 2" xfId="7467" xr:uid="{00000000-0005-0000-0000-00001E210000}"/>
    <cellStyle name="Note 2 4 2 2 2 2" xfId="15906" xr:uid="{3CEE8FC3-3607-4421-87F3-1548D8ADE921}"/>
    <cellStyle name="Note 2 4 2 2 3" xfId="11688" xr:uid="{7E4F8724-3400-4225-A9FA-5C946FF49254}"/>
    <cellStyle name="Note 2 4 2 3" xfId="5322" xr:uid="{00000000-0005-0000-0000-00001F210000}"/>
    <cellStyle name="Note 2 4 2 3 2" xfId="13761" xr:uid="{009E54E6-0B7D-44CE-82F9-18F8E680A773}"/>
    <cellStyle name="Note 2 4 2 4" xfId="9543" xr:uid="{42EAE8A9-7FFC-43B9-A016-3BE297C4CD2E}"/>
    <cellStyle name="Note 2 4 3" xfId="1427" xr:uid="{00000000-0005-0000-0000-000020210000}"/>
    <cellStyle name="Note 2 4 3 2" xfId="3657" xr:uid="{00000000-0005-0000-0000-000021210000}"/>
    <cellStyle name="Note 2 4 3 2 2" xfId="7880" xr:uid="{00000000-0005-0000-0000-000022210000}"/>
    <cellStyle name="Note 2 4 3 2 2 2" xfId="16319" xr:uid="{2DB09394-292F-4DC9-922F-E8F6512A5F73}"/>
    <cellStyle name="Note 2 4 3 2 3" xfId="12101" xr:uid="{996FCC16-2D89-4D9C-BD81-69F7815EA36C}"/>
    <cellStyle name="Note 2 4 3 3" xfId="5735" xr:uid="{00000000-0005-0000-0000-000023210000}"/>
    <cellStyle name="Note 2 4 3 3 2" xfId="14174" xr:uid="{A2E82A3B-2473-48C3-A5FD-40A7FC4E2523}"/>
    <cellStyle name="Note 2 4 3 4" xfId="9956" xr:uid="{A74AFA18-5C19-4482-BFFA-489D35B5C434}"/>
    <cellStyle name="Note 2 4 4" xfId="1841" xr:uid="{00000000-0005-0000-0000-000024210000}"/>
    <cellStyle name="Note 2 4 4 2" xfId="4070" xr:uid="{00000000-0005-0000-0000-000025210000}"/>
    <cellStyle name="Note 2 4 4 2 2" xfId="8293" xr:uid="{00000000-0005-0000-0000-000026210000}"/>
    <cellStyle name="Note 2 4 4 2 2 2" xfId="16732" xr:uid="{A8EFCFC4-C0C8-4710-B2E8-EA8B32204905}"/>
    <cellStyle name="Note 2 4 4 2 3" xfId="12514" xr:uid="{06982644-6157-4D65-A2F2-985FF229A8A0}"/>
    <cellStyle name="Note 2 4 4 3" xfId="6148" xr:uid="{00000000-0005-0000-0000-000027210000}"/>
    <cellStyle name="Note 2 4 4 3 2" xfId="14587" xr:uid="{520F102B-6C4D-4776-9075-DDFA823BF342}"/>
    <cellStyle name="Note 2 4 4 4" xfId="10369" xr:uid="{3B748B5D-E770-44CF-BAFB-21F5384354EF}"/>
    <cellStyle name="Note 2 4 5" xfId="2254" xr:uid="{00000000-0005-0000-0000-000028210000}"/>
    <cellStyle name="Note 2 4 5 2" xfId="4483" xr:uid="{00000000-0005-0000-0000-000029210000}"/>
    <cellStyle name="Note 2 4 5 2 2" xfId="8706" xr:uid="{00000000-0005-0000-0000-00002A210000}"/>
    <cellStyle name="Note 2 4 5 2 2 2" xfId="17145" xr:uid="{6E7CE7D5-E434-4950-BAC0-1CA959408F8F}"/>
    <cellStyle name="Note 2 4 5 2 3" xfId="12927" xr:uid="{D4C02A60-D3EB-4C80-9E84-7881CA718A08}"/>
    <cellStyle name="Note 2 4 5 3" xfId="6561" xr:uid="{00000000-0005-0000-0000-00002B210000}"/>
    <cellStyle name="Note 2 4 5 3 2" xfId="15000" xr:uid="{A68A1C3A-E345-4EE8-9062-6919FCC1BD53}"/>
    <cellStyle name="Note 2 4 5 4" xfId="10782" xr:uid="{CE623B88-A883-488E-8D5F-15662BBE2C45}"/>
    <cellStyle name="Note 2 4 6" xfId="2690" xr:uid="{00000000-0005-0000-0000-00002C210000}"/>
    <cellStyle name="Note 2 4 6 2" xfId="6974" xr:uid="{00000000-0005-0000-0000-00002D210000}"/>
    <cellStyle name="Note 2 4 6 2 2" xfId="15413" xr:uid="{F48F31D7-D5A1-4708-AACF-B1889A07D50D}"/>
    <cellStyle name="Note 2 4 6 3" xfId="11195" xr:uid="{7275A489-831C-42E5-A232-5D1373F0B901}"/>
    <cellStyle name="Note 2 4 7" xfId="2749" xr:uid="{00000000-0005-0000-0000-00002E210000}"/>
    <cellStyle name="Note 2 4 8" xfId="2830" xr:uid="{00000000-0005-0000-0000-00002F210000}"/>
    <cellStyle name="Note 2 4 8 2" xfId="7054" xr:uid="{00000000-0005-0000-0000-000030210000}"/>
    <cellStyle name="Note 2 4 8 2 2" xfId="15493" xr:uid="{5FADB877-F186-4DB3-ACF5-6406435FB75D}"/>
    <cellStyle name="Note 2 4 8 3" xfId="11275" xr:uid="{69F440DD-3A30-43A1-A547-23EAA04E2267}"/>
    <cellStyle name="Note 2 4 9" xfId="4909" xr:uid="{00000000-0005-0000-0000-000031210000}"/>
    <cellStyle name="Note 2 4 9 2" xfId="13348" xr:uid="{514D13F6-5779-4503-8DC1-18C0221F52E6}"/>
    <cellStyle name="Note 2 5" xfId="552" xr:uid="{00000000-0005-0000-0000-000032210000}"/>
    <cellStyle name="Note 2 5 10" xfId="9131" xr:uid="{81A71E80-2519-44CC-88D2-27A02601C836}"/>
    <cellStyle name="Note 2 5 2" xfId="1013" xr:uid="{00000000-0005-0000-0000-000033210000}"/>
    <cellStyle name="Note 2 5 2 2" xfId="3245" xr:uid="{00000000-0005-0000-0000-000034210000}"/>
    <cellStyle name="Note 2 5 2 2 2" xfId="7468" xr:uid="{00000000-0005-0000-0000-000035210000}"/>
    <cellStyle name="Note 2 5 2 2 2 2" xfId="15907" xr:uid="{2B523C67-C8C0-4001-BB27-688D870CF96F}"/>
    <cellStyle name="Note 2 5 2 2 3" xfId="11689" xr:uid="{5B2489F7-D27E-4ADD-938B-F6F2FE2E762B}"/>
    <cellStyle name="Note 2 5 2 3" xfId="5323" xr:uid="{00000000-0005-0000-0000-000036210000}"/>
    <cellStyle name="Note 2 5 2 3 2" xfId="13762" xr:uid="{FE67BE24-E10D-4688-A1A1-66AA911CA13D}"/>
    <cellStyle name="Note 2 5 2 4" xfId="9544" xr:uid="{CC84DF27-001A-4797-BAAA-35D860C27DEF}"/>
    <cellStyle name="Note 2 5 3" xfId="1428" xr:uid="{00000000-0005-0000-0000-000037210000}"/>
    <cellStyle name="Note 2 5 3 2" xfId="3658" xr:uid="{00000000-0005-0000-0000-000038210000}"/>
    <cellStyle name="Note 2 5 3 2 2" xfId="7881" xr:uid="{00000000-0005-0000-0000-000039210000}"/>
    <cellStyle name="Note 2 5 3 2 2 2" xfId="16320" xr:uid="{1C0E2EAF-A323-4965-9235-B3B024B59AA4}"/>
    <cellStyle name="Note 2 5 3 2 3" xfId="12102" xr:uid="{67A6204A-FEB8-4340-B155-038EBD292E02}"/>
    <cellStyle name="Note 2 5 3 3" xfId="5736" xr:uid="{00000000-0005-0000-0000-00003A210000}"/>
    <cellStyle name="Note 2 5 3 3 2" xfId="14175" xr:uid="{16F7EBD6-3362-4A8D-AA11-D607EBFB99CE}"/>
    <cellStyle name="Note 2 5 3 4" xfId="9957" xr:uid="{4DFBB719-16C2-4D00-9C32-87434E8ED50B}"/>
    <cellStyle name="Note 2 5 4" xfId="1842" xr:uid="{00000000-0005-0000-0000-00003B210000}"/>
    <cellStyle name="Note 2 5 4 2" xfId="4071" xr:uid="{00000000-0005-0000-0000-00003C210000}"/>
    <cellStyle name="Note 2 5 4 2 2" xfId="8294" xr:uid="{00000000-0005-0000-0000-00003D210000}"/>
    <cellStyle name="Note 2 5 4 2 2 2" xfId="16733" xr:uid="{CCCC910C-B8F5-440D-A64A-C2A1D0F470B6}"/>
    <cellStyle name="Note 2 5 4 2 3" xfId="12515" xr:uid="{5536EF41-6B8F-4609-8718-192131B18E0C}"/>
    <cellStyle name="Note 2 5 4 3" xfId="6149" xr:uid="{00000000-0005-0000-0000-00003E210000}"/>
    <cellStyle name="Note 2 5 4 3 2" xfId="14588" xr:uid="{E6967562-2CAA-4A47-984E-8E9D31C53CAF}"/>
    <cellStyle name="Note 2 5 4 4" xfId="10370" xr:uid="{87BDB6E5-5C14-419B-B8AA-D0D7BF408AD3}"/>
    <cellStyle name="Note 2 5 5" xfId="2255" xr:uid="{00000000-0005-0000-0000-00003F210000}"/>
    <cellStyle name="Note 2 5 5 2" xfId="4484" xr:uid="{00000000-0005-0000-0000-000040210000}"/>
    <cellStyle name="Note 2 5 5 2 2" xfId="8707" xr:uid="{00000000-0005-0000-0000-000041210000}"/>
    <cellStyle name="Note 2 5 5 2 2 2" xfId="17146" xr:uid="{87BC6039-6912-4080-8161-730A9402CDD0}"/>
    <cellStyle name="Note 2 5 5 2 3" xfId="12928" xr:uid="{C3F29124-CD81-4D1B-B217-242A2D82DDC1}"/>
    <cellStyle name="Note 2 5 5 3" xfId="6562" xr:uid="{00000000-0005-0000-0000-000042210000}"/>
    <cellStyle name="Note 2 5 5 3 2" xfId="15001" xr:uid="{FEFA003E-E806-4FBB-BC2C-4A5D3DD65B14}"/>
    <cellStyle name="Note 2 5 5 4" xfId="10783" xr:uid="{28351AF2-8F01-455C-8448-657D9E11AF6A}"/>
    <cellStyle name="Note 2 5 6" xfId="2691" xr:uid="{00000000-0005-0000-0000-000043210000}"/>
    <cellStyle name="Note 2 5 6 2" xfId="6975" xr:uid="{00000000-0005-0000-0000-000044210000}"/>
    <cellStyle name="Note 2 5 6 2 2" xfId="15414" xr:uid="{F72A8767-86A0-4261-81D4-EDD53761BA67}"/>
    <cellStyle name="Note 2 5 6 3" xfId="11196" xr:uid="{65463D0C-B9DB-42FB-9402-1F6F9ADFCE6C}"/>
    <cellStyle name="Note 2 5 7" xfId="2750" xr:uid="{00000000-0005-0000-0000-000045210000}"/>
    <cellStyle name="Note 2 5 8" xfId="2831" xr:uid="{00000000-0005-0000-0000-000046210000}"/>
    <cellStyle name="Note 2 5 8 2" xfId="7055" xr:uid="{00000000-0005-0000-0000-000047210000}"/>
    <cellStyle name="Note 2 5 8 2 2" xfId="15494" xr:uid="{CF3E375B-1015-473A-B477-640B3FF93694}"/>
    <cellStyle name="Note 2 5 8 3" xfId="11276" xr:uid="{289AB8E0-553F-4E05-8437-49C4C649596B}"/>
    <cellStyle name="Note 2 5 9" xfId="4910" xr:uid="{00000000-0005-0000-0000-000048210000}"/>
    <cellStyle name="Note 2 5 9 2" xfId="13349" xr:uid="{628D9C99-6424-488C-900B-0753AE2CA475}"/>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4FFA704E-2191-4F8D-82C8-8B51B2E60820}"/>
    <cellStyle name="Note 3 2 10 3" xfId="11277" xr:uid="{1B598B5E-C815-41CD-A8F3-DA1AEA65E0E2}"/>
    <cellStyle name="Note 3 2 11" xfId="4911" xr:uid="{00000000-0005-0000-0000-00004D210000}"/>
    <cellStyle name="Note 3 2 11 2" xfId="13350" xr:uid="{DCBDB484-F3BD-4DCF-B4E7-8B3411A75BCE}"/>
    <cellStyle name="Note 3 2 12" xfId="9132" xr:uid="{50EE307B-8290-480C-BE4C-A2ADD1297CA4}"/>
    <cellStyle name="Note 3 2 2" xfId="555" xr:uid="{00000000-0005-0000-0000-00004E210000}"/>
    <cellStyle name="Note 3 2 2 10" xfId="4912" xr:uid="{00000000-0005-0000-0000-00004F210000}"/>
    <cellStyle name="Note 3 2 2 10 2" xfId="13351" xr:uid="{31203239-67BF-47AF-BE7C-ED3EE039A861}"/>
    <cellStyle name="Note 3 2 2 11" xfId="9133" xr:uid="{3EBE979A-BFD0-4517-8923-9C20FD498725}"/>
    <cellStyle name="Note 3 2 2 2" xfId="556" xr:uid="{00000000-0005-0000-0000-000050210000}"/>
    <cellStyle name="Note 3 2 2 2 10" xfId="9134" xr:uid="{980B95EA-5A46-48BD-B7F5-E26BE978B2B3}"/>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98C6EF10-AA18-458E-8C4F-628CC9FDBAB3}"/>
    <cellStyle name="Note 3 2 2 2 2 2 3" xfId="11692" xr:uid="{5DC8D215-38A0-48BD-B978-5569E66B57DA}"/>
    <cellStyle name="Note 3 2 2 2 2 3" xfId="5326" xr:uid="{00000000-0005-0000-0000-000054210000}"/>
    <cellStyle name="Note 3 2 2 2 2 3 2" xfId="13765" xr:uid="{20385862-4296-465A-BF99-CA1BD3392EC4}"/>
    <cellStyle name="Note 3 2 2 2 2 4" xfId="9547" xr:uid="{F9271C5C-57AD-4E29-9A15-0B6C085BB978}"/>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8BB647B1-6A63-4D52-957C-11927DB48DC8}"/>
    <cellStyle name="Note 3 2 2 2 3 2 3" xfId="12105" xr:uid="{CF0C49C8-D52D-4CE9-8368-7296AA4A3ACD}"/>
    <cellStyle name="Note 3 2 2 2 3 3" xfId="5739" xr:uid="{00000000-0005-0000-0000-000058210000}"/>
    <cellStyle name="Note 3 2 2 2 3 3 2" xfId="14178" xr:uid="{6BA34141-478F-4D9C-A8BA-D18C8B4F2903}"/>
    <cellStyle name="Note 3 2 2 2 3 4" xfId="9960" xr:uid="{BCB0C02A-5BDA-4293-A9FD-1BE977A11BA1}"/>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9101863D-B3DA-404B-BBD2-679C158EA2D1}"/>
    <cellStyle name="Note 3 2 2 2 4 2 3" xfId="12518" xr:uid="{8DBD38E6-C208-4ED9-AACA-0ECF3F37584A}"/>
    <cellStyle name="Note 3 2 2 2 4 3" xfId="6152" xr:uid="{00000000-0005-0000-0000-00005C210000}"/>
    <cellStyle name="Note 3 2 2 2 4 3 2" xfId="14591" xr:uid="{A8B1E6EE-8F38-401D-8332-ACE3073CC6C2}"/>
    <cellStyle name="Note 3 2 2 2 4 4" xfId="10373" xr:uid="{ECE7CFC9-65F2-4EAA-881C-8B17E8AB74BE}"/>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29CD258B-206B-4A90-BBFC-919D5AC82151}"/>
    <cellStyle name="Note 3 2 2 2 5 2 3" xfId="12931" xr:uid="{17901095-104C-46F1-9014-A6EC9E14F1FE}"/>
    <cellStyle name="Note 3 2 2 2 5 3" xfId="6565" xr:uid="{00000000-0005-0000-0000-000060210000}"/>
    <cellStyle name="Note 3 2 2 2 5 3 2" xfId="15004" xr:uid="{E2D2E866-EA1C-42DA-8371-E96D40428C52}"/>
    <cellStyle name="Note 3 2 2 2 5 4" xfId="10786" xr:uid="{716FC346-1AC2-48C8-9BFB-1E755AECBCC0}"/>
    <cellStyle name="Note 3 2 2 2 6" xfId="2694" xr:uid="{00000000-0005-0000-0000-000061210000}"/>
    <cellStyle name="Note 3 2 2 2 6 2" xfId="6978" xr:uid="{00000000-0005-0000-0000-000062210000}"/>
    <cellStyle name="Note 3 2 2 2 6 2 2" xfId="15417" xr:uid="{C3B593BC-02A8-4CBA-BBC5-8E054DD17E01}"/>
    <cellStyle name="Note 3 2 2 2 6 3" xfId="11199" xr:uid="{96F41B5B-C3BD-46A4-A87A-8DADE5EE0AF9}"/>
    <cellStyle name="Note 3 2 2 2 7" xfId="2753" xr:uid="{00000000-0005-0000-0000-000063210000}"/>
    <cellStyle name="Note 3 2 2 2 8" xfId="2834" xr:uid="{00000000-0005-0000-0000-000064210000}"/>
    <cellStyle name="Note 3 2 2 2 8 2" xfId="7058" xr:uid="{00000000-0005-0000-0000-000065210000}"/>
    <cellStyle name="Note 3 2 2 2 8 2 2" xfId="15497" xr:uid="{68DBBB55-254F-47AF-A3FF-917F76E28140}"/>
    <cellStyle name="Note 3 2 2 2 8 3" xfId="11279" xr:uid="{2F050C69-64D4-472C-B7F0-B5D9CA8A80D8}"/>
    <cellStyle name="Note 3 2 2 2 9" xfId="4913" xr:uid="{00000000-0005-0000-0000-000066210000}"/>
    <cellStyle name="Note 3 2 2 2 9 2" xfId="13352" xr:uid="{01A01A52-957A-410B-90E2-C2A96E77AA12}"/>
    <cellStyle name="Note 3 2 2 3" xfId="1015" xr:uid="{00000000-0005-0000-0000-000067210000}"/>
    <cellStyle name="Note 3 2 2 3 2" xfId="3247" xr:uid="{00000000-0005-0000-0000-000068210000}"/>
    <cellStyle name="Note 3 2 2 3 2 2" xfId="7470" xr:uid="{00000000-0005-0000-0000-000069210000}"/>
    <cellStyle name="Note 3 2 2 3 2 2 2" xfId="15909" xr:uid="{A9B27D7C-847B-49DC-93FD-39E5FA558AB5}"/>
    <cellStyle name="Note 3 2 2 3 2 3" xfId="11691" xr:uid="{169F072D-1819-46F0-A596-218BC5A7D879}"/>
    <cellStyle name="Note 3 2 2 3 3" xfId="5325" xr:uid="{00000000-0005-0000-0000-00006A210000}"/>
    <cellStyle name="Note 3 2 2 3 3 2" xfId="13764" xr:uid="{22484193-7682-466B-A23C-2C60BFFB5C31}"/>
    <cellStyle name="Note 3 2 2 3 4" xfId="9546" xr:uid="{8CBD6834-D856-4B14-93D3-8A1A25753B20}"/>
    <cellStyle name="Note 3 2 2 4" xfId="1430" xr:uid="{00000000-0005-0000-0000-00006B210000}"/>
    <cellStyle name="Note 3 2 2 4 2" xfId="3660" xr:uid="{00000000-0005-0000-0000-00006C210000}"/>
    <cellStyle name="Note 3 2 2 4 2 2" xfId="7883" xr:uid="{00000000-0005-0000-0000-00006D210000}"/>
    <cellStyle name="Note 3 2 2 4 2 2 2" xfId="16322" xr:uid="{D336D8EC-9A60-4C65-842C-C580B1F93951}"/>
    <cellStyle name="Note 3 2 2 4 2 3" xfId="12104" xr:uid="{395A732E-E417-4569-ABD2-69EE46DD290A}"/>
    <cellStyle name="Note 3 2 2 4 3" xfId="5738" xr:uid="{00000000-0005-0000-0000-00006E210000}"/>
    <cellStyle name="Note 3 2 2 4 3 2" xfId="14177" xr:uid="{A9CC9C98-8189-4E63-AB08-359E5AF0B004}"/>
    <cellStyle name="Note 3 2 2 4 4" xfId="9959" xr:uid="{08840BE8-8382-49E4-8F01-890D77B3E9CF}"/>
    <cellStyle name="Note 3 2 2 5" xfId="1844" xr:uid="{00000000-0005-0000-0000-00006F210000}"/>
    <cellStyle name="Note 3 2 2 5 2" xfId="4073" xr:uid="{00000000-0005-0000-0000-000070210000}"/>
    <cellStyle name="Note 3 2 2 5 2 2" xfId="8296" xr:uid="{00000000-0005-0000-0000-000071210000}"/>
    <cellStyle name="Note 3 2 2 5 2 2 2" xfId="16735" xr:uid="{22463B8C-5E18-484C-A0BA-EC3FBDFA826B}"/>
    <cellStyle name="Note 3 2 2 5 2 3" xfId="12517" xr:uid="{347A3BE6-168A-404F-BB2B-4672FD98B349}"/>
    <cellStyle name="Note 3 2 2 5 3" xfId="6151" xr:uid="{00000000-0005-0000-0000-000072210000}"/>
    <cellStyle name="Note 3 2 2 5 3 2" xfId="14590" xr:uid="{A9FF9251-4A60-4CB4-A989-D302650A2BAA}"/>
    <cellStyle name="Note 3 2 2 5 4" xfId="10372" xr:uid="{2939DD33-2D72-49A8-955C-F81E4BF27145}"/>
    <cellStyle name="Note 3 2 2 6" xfId="2257" xr:uid="{00000000-0005-0000-0000-000073210000}"/>
    <cellStyle name="Note 3 2 2 6 2" xfId="4486" xr:uid="{00000000-0005-0000-0000-000074210000}"/>
    <cellStyle name="Note 3 2 2 6 2 2" xfId="8709" xr:uid="{00000000-0005-0000-0000-000075210000}"/>
    <cellStyle name="Note 3 2 2 6 2 2 2" xfId="17148" xr:uid="{ABA755CD-C151-4C93-9D59-1CD7E1A6275D}"/>
    <cellStyle name="Note 3 2 2 6 2 3" xfId="12930" xr:uid="{FA1839CB-CCE5-405D-9BEF-7382D209BDF1}"/>
    <cellStyle name="Note 3 2 2 6 3" xfId="6564" xr:uid="{00000000-0005-0000-0000-000076210000}"/>
    <cellStyle name="Note 3 2 2 6 3 2" xfId="15003" xr:uid="{194A1257-79DB-4680-888E-D7A8F600CD7E}"/>
    <cellStyle name="Note 3 2 2 6 4" xfId="10785" xr:uid="{2C855641-ECA2-4B6F-8937-77DF97D28683}"/>
    <cellStyle name="Note 3 2 2 7" xfId="2693" xr:uid="{00000000-0005-0000-0000-000077210000}"/>
    <cellStyle name="Note 3 2 2 7 2" xfId="6977" xr:uid="{00000000-0005-0000-0000-000078210000}"/>
    <cellStyle name="Note 3 2 2 7 2 2" xfId="15416" xr:uid="{417B1238-470A-4359-8634-41CDA188F8CD}"/>
    <cellStyle name="Note 3 2 2 7 3" xfId="11198" xr:uid="{1CAC3BBE-8E87-4447-B963-092499795B53}"/>
    <cellStyle name="Note 3 2 2 8" xfId="2752" xr:uid="{00000000-0005-0000-0000-000079210000}"/>
    <cellStyle name="Note 3 2 2 9" xfId="2833" xr:uid="{00000000-0005-0000-0000-00007A210000}"/>
    <cellStyle name="Note 3 2 2 9 2" xfId="7057" xr:uid="{00000000-0005-0000-0000-00007B210000}"/>
    <cellStyle name="Note 3 2 2 9 2 2" xfId="15496" xr:uid="{B44A10F6-A8F5-4F20-AF24-B1DF817ABB22}"/>
    <cellStyle name="Note 3 2 2 9 3" xfId="11278" xr:uid="{E1D51D40-705D-4ADA-9192-EC02C3A3BD27}"/>
    <cellStyle name="Note 3 2 3" xfId="557" xr:uid="{00000000-0005-0000-0000-00007C210000}"/>
    <cellStyle name="Note 3 2 3 10" xfId="9135" xr:uid="{625D9A81-8F2F-479E-ACBE-1D373C1B7403}"/>
    <cellStyle name="Note 3 2 3 2" xfId="1017" xr:uid="{00000000-0005-0000-0000-00007D210000}"/>
    <cellStyle name="Note 3 2 3 2 2" xfId="3249" xr:uid="{00000000-0005-0000-0000-00007E210000}"/>
    <cellStyle name="Note 3 2 3 2 2 2" xfId="7472" xr:uid="{00000000-0005-0000-0000-00007F210000}"/>
    <cellStyle name="Note 3 2 3 2 2 2 2" xfId="15911" xr:uid="{9FDDE20C-DF56-4EB0-ACCF-D8B78DE43146}"/>
    <cellStyle name="Note 3 2 3 2 2 3" xfId="11693" xr:uid="{BDA88501-AB07-40DB-AF4D-8F6B2DF25D6B}"/>
    <cellStyle name="Note 3 2 3 2 3" xfId="5327" xr:uid="{00000000-0005-0000-0000-000080210000}"/>
    <cellStyle name="Note 3 2 3 2 3 2" xfId="13766" xr:uid="{A19607D2-2240-43B1-B71C-7183601F1AED}"/>
    <cellStyle name="Note 3 2 3 2 4" xfId="9548" xr:uid="{D9E61A51-A64D-4CAA-8B08-1C1B79E0CFE0}"/>
    <cellStyle name="Note 3 2 3 3" xfId="1432" xr:uid="{00000000-0005-0000-0000-000081210000}"/>
    <cellStyle name="Note 3 2 3 3 2" xfId="3662" xr:uid="{00000000-0005-0000-0000-000082210000}"/>
    <cellStyle name="Note 3 2 3 3 2 2" xfId="7885" xr:uid="{00000000-0005-0000-0000-000083210000}"/>
    <cellStyle name="Note 3 2 3 3 2 2 2" xfId="16324" xr:uid="{7E85FDF3-4774-43F3-BD84-169B29DDBFE8}"/>
    <cellStyle name="Note 3 2 3 3 2 3" xfId="12106" xr:uid="{594CCEC3-17B6-4C43-BA5D-EE54C195392B}"/>
    <cellStyle name="Note 3 2 3 3 3" xfId="5740" xr:uid="{00000000-0005-0000-0000-000084210000}"/>
    <cellStyle name="Note 3 2 3 3 3 2" xfId="14179" xr:uid="{F9124E27-3C03-42A2-92BC-8361F1037DD5}"/>
    <cellStyle name="Note 3 2 3 3 4" xfId="9961" xr:uid="{C0425888-4655-4DF2-A59B-F258E91885F9}"/>
    <cellStyle name="Note 3 2 3 4" xfId="1846" xr:uid="{00000000-0005-0000-0000-000085210000}"/>
    <cellStyle name="Note 3 2 3 4 2" xfId="4075" xr:uid="{00000000-0005-0000-0000-000086210000}"/>
    <cellStyle name="Note 3 2 3 4 2 2" xfId="8298" xr:uid="{00000000-0005-0000-0000-000087210000}"/>
    <cellStyle name="Note 3 2 3 4 2 2 2" xfId="16737" xr:uid="{6351233A-471C-4C76-B7CF-3D30382A4C64}"/>
    <cellStyle name="Note 3 2 3 4 2 3" xfId="12519" xr:uid="{4CA7AEB4-37F5-4883-BB07-EABCF9CABA91}"/>
    <cellStyle name="Note 3 2 3 4 3" xfId="6153" xr:uid="{00000000-0005-0000-0000-000088210000}"/>
    <cellStyle name="Note 3 2 3 4 3 2" xfId="14592" xr:uid="{D6E7AB78-2A72-424D-9E56-2FC75B496422}"/>
    <cellStyle name="Note 3 2 3 4 4" xfId="10374" xr:uid="{4AC29634-B161-4D6B-BD36-1E2F1F8379EE}"/>
    <cellStyle name="Note 3 2 3 5" xfId="2259" xr:uid="{00000000-0005-0000-0000-000089210000}"/>
    <cellStyle name="Note 3 2 3 5 2" xfId="4488" xr:uid="{00000000-0005-0000-0000-00008A210000}"/>
    <cellStyle name="Note 3 2 3 5 2 2" xfId="8711" xr:uid="{00000000-0005-0000-0000-00008B210000}"/>
    <cellStyle name="Note 3 2 3 5 2 2 2" xfId="17150" xr:uid="{F3712701-3BEA-48E0-A82F-C54E2444191A}"/>
    <cellStyle name="Note 3 2 3 5 2 3" xfId="12932" xr:uid="{72AB454C-D9EE-47EE-820C-D8C64ED92E88}"/>
    <cellStyle name="Note 3 2 3 5 3" xfId="6566" xr:uid="{00000000-0005-0000-0000-00008C210000}"/>
    <cellStyle name="Note 3 2 3 5 3 2" xfId="15005" xr:uid="{4CF2F05B-F090-4828-820F-E18188B206C7}"/>
    <cellStyle name="Note 3 2 3 5 4" xfId="10787" xr:uid="{34BF4F4B-AC65-43C1-A8AA-BA912F775D98}"/>
    <cellStyle name="Note 3 2 3 6" xfId="2695" xr:uid="{00000000-0005-0000-0000-00008D210000}"/>
    <cellStyle name="Note 3 2 3 6 2" xfId="6979" xr:uid="{00000000-0005-0000-0000-00008E210000}"/>
    <cellStyle name="Note 3 2 3 6 2 2" xfId="15418" xr:uid="{11B34F9B-70CE-42AD-B423-53D6BD68B47A}"/>
    <cellStyle name="Note 3 2 3 6 3" xfId="11200" xr:uid="{D455500C-0157-419A-B6B5-7542E1860D25}"/>
    <cellStyle name="Note 3 2 3 7" xfId="2754" xr:uid="{00000000-0005-0000-0000-00008F210000}"/>
    <cellStyle name="Note 3 2 3 8" xfId="2835" xr:uid="{00000000-0005-0000-0000-000090210000}"/>
    <cellStyle name="Note 3 2 3 8 2" xfId="7059" xr:uid="{00000000-0005-0000-0000-000091210000}"/>
    <cellStyle name="Note 3 2 3 8 2 2" xfId="15498" xr:uid="{3EB64487-9F96-40CC-8FA8-D900B22A21EB}"/>
    <cellStyle name="Note 3 2 3 8 3" xfId="11280" xr:uid="{1A668E62-D7E6-4F28-A2CD-7F2C7E2DA93D}"/>
    <cellStyle name="Note 3 2 3 9" xfId="4914" xr:uid="{00000000-0005-0000-0000-000092210000}"/>
    <cellStyle name="Note 3 2 3 9 2" xfId="13353" xr:uid="{6A2D815F-3B8C-40F8-B36D-BE73397FD307}"/>
    <cellStyle name="Note 3 2 4" xfId="1014" xr:uid="{00000000-0005-0000-0000-000093210000}"/>
    <cellStyle name="Note 3 2 4 2" xfId="3246" xr:uid="{00000000-0005-0000-0000-000094210000}"/>
    <cellStyle name="Note 3 2 4 2 2" xfId="7469" xr:uid="{00000000-0005-0000-0000-000095210000}"/>
    <cellStyle name="Note 3 2 4 2 2 2" xfId="15908" xr:uid="{FCF9A107-3165-4385-82AC-C7F43278226C}"/>
    <cellStyle name="Note 3 2 4 2 3" xfId="11690" xr:uid="{3CC05B54-24C1-450E-9610-CEA374762FAC}"/>
    <cellStyle name="Note 3 2 4 3" xfId="5324" xr:uid="{00000000-0005-0000-0000-000096210000}"/>
    <cellStyle name="Note 3 2 4 3 2" xfId="13763" xr:uid="{1FC7A690-5408-41D1-B5F2-B833DAC5D48C}"/>
    <cellStyle name="Note 3 2 4 4" xfId="9545" xr:uid="{300E85F6-9032-4BE8-AF14-AA1C242366FE}"/>
    <cellStyle name="Note 3 2 5" xfId="1429" xr:uid="{00000000-0005-0000-0000-000097210000}"/>
    <cellStyle name="Note 3 2 5 2" xfId="3659" xr:uid="{00000000-0005-0000-0000-000098210000}"/>
    <cellStyle name="Note 3 2 5 2 2" xfId="7882" xr:uid="{00000000-0005-0000-0000-000099210000}"/>
    <cellStyle name="Note 3 2 5 2 2 2" xfId="16321" xr:uid="{7D811FB2-9A56-49AE-A692-748863B68BB8}"/>
    <cellStyle name="Note 3 2 5 2 3" xfId="12103" xr:uid="{626B5B44-CC13-468F-B8C3-C641CCC92F85}"/>
    <cellStyle name="Note 3 2 5 3" xfId="5737" xr:uid="{00000000-0005-0000-0000-00009A210000}"/>
    <cellStyle name="Note 3 2 5 3 2" xfId="14176" xr:uid="{04A93B69-3722-421A-8F93-B7CF193BD791}"/>
    <cellStyle name="Note 3 2 5 4" xfId="9958" xr:uid="{6BA431C7-9E03-45AB-8DC5-A8E1C9C465D5}"/>
    <cellStyle name="Note 3 2 6" xfId="1843" xr:uid="{00000000-0005-0000-0000-00009B210000}"/>
    <cellStyle name="Note 3 2 6 2" xfId="4072" xr:uid="{00000000-0005-0000-0000-00009C210000}"/>
    <cellStyle name="Note 3 2 6 2 2" xfId="8295" xr:uid="{00000000-0005-0000-0000-00009D210000}"/>
    <cellStyle name="Note 3 2 6 2 2 2" xfId="16734" xr:uid="{9E23EBC4-24C9-42E2-A8E1-EA88DDAF904D}"/>
    <cellStyle name="Note 3 2 6 2 3" xfId="12516" xr:uid="{197A4CD0-4F4F-429A-BF37-93F76A49C6C6}"/>
    <cellStyle name="Note 3 2 6 3" xfId="6150" xr:uid="{00000000-0005-0000-0000-00009E210000}"/>
    <cellStyle name="Note 3 2 6 3 2" xfId="14589" xr:uid="{9D25C631-C7FB-4635-A33C-56E44361D975}"/>
    <cellStyle name="Note 3 2 6 4" xfId="10371" xr:uid="{CBCA5752-1E3E-40AA-AA4F-5AFA37AA9B10}"/>
    <cellStyle name="Note 3 2 7" xfId="2256" xr:uid="{00000000-0005-0000-0000-00009F210000}"/>
    <cellStyle name="Note 3 2 7 2" xfId="4485" xr:uid="{00000000-0005-0000-0000-0000A0210000}"/>
    <cellStyle name="Note 3 2 7 2 2" xfId="8708" xr:uid="{00000000-0005-0000-0000-0000A1210000}"/>
    <cellStyle name="Note 3 2 7 2 2 2" xfId="17147" xr:uid="{03879F18-EDB9-4A21-B6D3-661FB45C52DB}"/>
    <cellStyle name="Note 3 2 7 2 3" xfId="12929" xr:uid="{CE244523-10D8-4F75-89F4-3D0F153E9CCD}"/>
    <cellStyle name="Note 3 2 7 3" xfId="6563" xr:uid="{00000000-0005-0000-0000-0000A2210000}"/>
    <cellStyle name="Note 3 2 7 3 2" xfId="15002" xr:uid="{560542D8-156E-433C-8675-2790ED633C85}"/>
    <cellStyle name="Note 3 2 7 4" xfId="10784" xr:uid="{78AA25F8-2CB5-4CDA-8AF1-628E30BB3D28}"/>
    <cellStyle name="Note 3 2 8" xfId="2692" xr:uid="{00000000-0005-0000-0000-0000A3210000}"/>
    <cellStyle name="Note 3 2 8 2" xfId="6976" xr:uid="{00000000-0005-0000-0000-0000A4210000}"/>
    <cellStyle name="Note 3 2 8 2 2" xfId="15415" xr:uid="{CE667A5C-42D1-41E4-BDA4-46A113E61BF0}"/>
    <cellStyle name="Note 3 2 8 3" xfId="11197" xr:uid="{15839452-06F7-42B1-9B84-3BBED1761ED4}"/>
    <cellStyle name="Note 3 2 9" xfId="2751" xr:uid="{00000000-0005-0000-0000-0000A5210000}"/>
    <cellStyle name="Note 3 3" xfId="558" xr:uid="{00000000-0005-0000-0000-0000A6210000}"/>
    <cellStyle name="Note 3 3 10" xfId="4915" xr:uid="{00000000-0005-0000-0000-0000A7210000}"/>
    <cellStyle name="Note 3 3 10 2" xfId="13354" xr:uid="{4150FDC9-B94E-4DA3-9A16-3727F27E275B}"/>
    <cellStyle name="Note 3 3 11" xfId="9136" xr:uid="{1B5A3CC9-58B1-4982-A906-20D7F1B36247}"/>
    <cellStyle name="Note 3 3 2" xfId="559" xr:uid="{00000000-0005-0000-0000-0000A8210000}"/>
    <cellStyle name="Note 3 3 2 10" xfId="9137" xr:uid="{7F11215E-2ABF-44A3-82A2-E8261689945B}"/>
    <cellStyle name="Note 3 3 2 2" xfId="1019" xr:uid="{00000000-0005-0000-0000-0000A9210000}"/>
    <cellStyle name="Note 3 3 2 2 2" xfId="3251" xr:uid="{00000000-0005-0000-0000-0000AA210000}"/>
    <cellStyle name="Note 3 3 2 2 2 2" xfId="7474" xr:uid="{00000000-0005-0000-0000-0000AB210000}"/>
    <cellStyle name="Note 3 3 2 2 2 2 2" xfId="15913" xr:uid="{BCD7DE46-F38F-487F-AA34-5F7F1D45A375}"/>
    <cellStyle name="Note 3 3 2 2 2 3" xfId="11695" xr:uid="{B515A6C6-5F34-4F64-9194-30A5CD77FE61}"/>
    <cellStyle name="Note 3 3 2 2 3" xfId="5329" xr:uid="{00000000-0005-0000-0000-0000AC210000}"/>
    <cellStyle name="Note 3 3 2 2 3 2" xfId="13768" xr:uid="{DCA626EB-96E0-401F-A53D-3E91C7F7C01A}"/>
    <cellStyle name="Note 3 3 2 2 4" xfId="9550" xr:uid="{D708CC0E-122B-4FFD-96E2-85C8CEF30C23}"/>
    <cellStyle name="Note 3 3 2 3" xfId="1434" xr:uid="{00000000-0005-0000-0000-0000AD210000}"/>
    <cellStyle name="Note 3 3 2 3 2" xfId="3664" xr:uid="{00000000-0005-0000-0000-0000AE210000}"/>
    <cellStyle name="Note 3 3 2 3 2 2" xfId="7887" xr:uid="{00000000-0005-0000-0000-0000AF210000}"/>
    <cellStyle name="Note 3 3 2 3 2 2 2" xfId="16326" xr:uid="{BF6C7AEF-262E-47A9-9740-8CE09C4E9709}"/>
    <cellStyle name="Note 3 3 2 3 2 3" xfId="12108" xr:uid="{6182823D-F027-44AF-A14E-568027F46AF6}"/>
    <cellStyle name="Note 3 3 2 3 3" xfId="5742" xr:uid="{00000000-0005-0000-0000-0000B0210000}"/>
    <cellStyle name="Note 3 3 2 3 3 2" xfId="14181" xr:uid="{F348C90B-399D-4770-A534-F36035E1EF74}"/>
    <cellStyle name="Note 3 3 2 3 4" xfId="9963" xr:uid="{5FC19915-639C-48B4-8CA5-DB4EF8B0FFA8}"/>
    <cellStyle name="Note 3 3 2 4" xfId="1848" xr:uid="{00000000-0005-0000-0000-0000B1210000}"/>
    <cellStyle name="Note 3 3 2 4 2" xfId="4077" xr:uid="{00000000-0005-0000-0000-0000B2210000}"/>
    <cellStyle name="Note 3 3 2 4 2 2" xfId="8300" xr:uid="{00000000-0005-0000-0000-0000B3210000}"/>
    <cellStyle name="Note 3 3 2 4 2 2 2" xfId="16739" xr:uid="{FBF15AF4-CE0F-451E-89F4-A41F51C508E8}"/>
    <cellStyle name="Note 3 3 2 4 2 3" xfId="12521" xr:uid="{5CC6D286-1DC9-4F42-8A1B-91EBC1FD9B73}"/>
    <cellStyle name="Note 3 3 2 4 3" xfId="6155" xr:uid="{00000000-0005-0000-0000-0000B4210000}"/>
    <cellStyle name="Note 3 3 2 4 3 2" xfId="14594" xr:uid="{EDC2215B-0A8C-4AD2-9890-75E82CF81B02}"/>
    <cellStyle name="Note 3 3 2 4 4" xfId="10376" xr:uid="{E8E8AF3D-6388-4F77-989C-1622D9461EA3}"/>
    <cellStyle name="Note 3 3 2 5" xfId="2261" xr:uid="{00000000-0005-0000-0000-0000B5210000}"/>
    <cellStyle name="Note 3 3 2 5 2" xfId="4490" xr:uid="{00000000-0005-0000-0000-0000B6210000}"/>
    <cellStyle name="Note 3 3 2 5 2 2" xfId="8713" xr:uid="{00000000-0005-0000-0000-0000B7210000}"/>
    <cellStyle name="Note 3 3 2 5 2 2 2" xfId="17152" xr:uid="{69067CB1-FBA3-4B88-A1FE-E49690DDACBA}"/>
    <cellStyle name="Note 3 3 2 5 2 3" xfId="12934" xr:uid="{8170D8B5-EF80-44C5-83E4-09A8BBC3DE74}"/>
    <cellStyle name="Note 3 3 2 5 3" xfId="6568" xr:uid="{00000000-0005-0000-0000-0000B8210000}"/>
    <cellStyle name="Note 3 3 2 5 3 2" xfId="15007" xr:uid="{64F7EE80-6451-4BF3-AFF5-1AD45ABE3107}"/>
    <cellStyle name="Note 3 3 2 5 4" xfId="10789" xr:uid="{E5A94D0D-EB7A-4FE1-9D8E-AA0259A719A9}"/>
    <cellStyle name="Note 3 3 2 6" xfId="2697" xr:uid="{00000000-0005-0000-0000-0000B9210000}"/>
    <cellStyle name="Note 3 3 2 6 2" xfId="6981" xr:uid="{00000000-0005-0000-0000-0000BA210000}"/>
    <cellStyle name="Note 3 3 2 6 2 2" xfId="15420" xr:uid="{4D344EB3-4927-4415-962B-B72281D3E0EA}"/>
    <cellStyle name="Note 3 3 2 6 3" xfId="11202" xr:uid="{5D498632-05D7-4431-9AE8-D68A7283C569}"/>
    <cellStyle name="Note 3 3 2 7" xfId="2756" xr:uid="{00000000-0005-0000-0000-0000BB210000}"/>
    <cellStyle name="Note 3 3 2 8" xfId="2837" xr:uid="{00000000-0005-0000-0000-0000BC210000}"/>
    <cellStyle name="Note 3 3 2 8 2" xfId="7061" xr:uid="{00000000-0005-0000-0000-0000BD210000}"/>
    <cellStyle name="Note 3 3 2 8 2 2" xfId="15500" xr:uid="{F06A8B63-D8F9-4D70-8D48-B5E447F1AEE8}"/>
    <cellStyle name="Note 3 3 2 8 3" xfId="11282" xr:uid="{149039C1-87D4-45B1-A328-6CA4BF77CC32}"/>
    <cellStyle name="Note 3 3 2 9" xfId="4916" xr:uid="{00000000-0005-0000-0000-0000BE210000}"/>
    <cellStyle name="Note 3 3 2 9 2" xfId="13355" xr:uid="{D8582CEC-1AB7-46C9-AC89-95C079C63C53}"/>
    <cellStyle name="Note 3 3 3" xfId="1018" xr:uid="{00000000-0005-0000-0000-0000BF210000}"/>
    <cellStyle name="Note 3 3 3 2" xfId="3250" xr:uid="{00000000-0005-0000-0000-0000C0210000}"/>
    <cellStyle name="Note 3 3 3 2 2" xfId="7473" xr:uid="{00000000-0005-0000-0000-0000C1210000}"/>
    <cellStyle name="Note 3 3 3 2 2 2" xfId="15912" xr:uid="{33C418E4-792A-41A5-AC30-C1C78CCA8D2E}"/>
    <cellStyle name="Note 3 3 3 2 3" xfId="11694" xr:uid="{A9DC3450-3E9C-4F51-86D9-5C9BB7BF3796}"/>
    <cellStyle name="Note 3 3 3 3" xfId="5328" xr:uid="{00000000-0005-0000-0000-0000C2210000}"/>
    <cellStyle name="Note 3 3 3 3 2" xfId="13767" xr:uid="{D0BA46D8-1C9F-4417-9B05-02C4111A5694}"/>
    <cellStyle name="Note 3 3 3 4" xfId="9549" xr:uid="{D3FA8345-4D8C-4517-A79C-BA3A31AEE4AB}"/>
    <cellStyle name="Note 3 3 4" xfId="1433" xr:uid="{00000000-0005-0000-0000-0000C3210000}"/>
    <cellStyle name="Note 3 3 4 2" xfId="3663" xr:uid="{00000000-0005-0000-0000-0000C4210000}"/>
    <cellStyle name="Note 3 3 4 2 2" xfId="7886" xr:uid="{00000000-0005-0000-0000-0000C5210000}"/>
    <cellStyle name="Note 3 3 4 2 2 2" xfId="16325" xr:uid="{84213FA7-18F7-4062-B30B-D58D26116240}"/>
    <cellStyle name="Note 3 3 4 2 3" xfId="12107" xr:uid="{03B0A5D8-168F-4EED-AF44-C96A10BF6A1C}"/>
    <cellStyle name="Note 3 3 4 3" xfId="5741" xr:uid="{00000000-0005-0000-0000-0000C6210000}"/>
    <cellStyle name="Note 3 3 4 3 2" xfId="14180" xr:uid="{6FEBAA66-9617-4597-8922-C3E0D98B1C01}"/>
    <cellStyle name="Note 3 3 4 4" xfId="9962" xr:uid="{57BD063F-3DBE-4341-A835-5FB76EBE9502}"/>
    <cellStyle name="Note 3 3 5" xfId="1847" xr:uid="{00000000-0005-0000-0000-0000C7210000}"/>
    <cellStyle name="Note 3 3 5 2" xfId="4076" xr:uid="{00000000-0005-0000-0000-0000C8210000}"/>
    <cellStyle name="Note 3 3 5 2 2" xfId="8299" xr:uid="{00000000-0005-0000-0000-0000C9210000}"/>
    <cellStyle name="Note 3 3 5 2 2 2" xfId="16738" xr:uid="{38439620-33CB-4D5A-A0C0-54AD452897DE}"/>
    <cellStyle name="Note 3 3 5 2 3" xfId="12520" xr:uid="{78A463C1-DB8B-475D-A102-D6E05D1252A7}"/>
    <cellStyle name="Note 3 3 5 3" xfId="6154" xr:uid="{00000000-0005-0000-0000-0000CA210000}"/>
    <cellStyle name="Note 3 3 5 3 2" xfId="14593" xr:uid="{43955954-4267-47B7-8A7C-A795856C39EA}"/>
    <cellStyle name="Note 3 3 5 4" xfId="10375" xr:uid="{6E2DBB7D-6A2B-468E-851B-41EA7EDAA24E}"/>
    <cellStyle name="Note 3 3 6" xfId="2260" xr:uid="{00000000-0005-0000-0000-0000CB210000}"/>
    <cellStyle name="Note 3 3 6 2" xfId="4489" xr:uid="{00000000-0005-0000-0000-0000CC210000}"/>
    <cellStyle name="Note 3 3 6 2 2" xfId="8712" xr:uid="{00000000-0005-0000-0000-0000CD210000}"/>
    <cellStyle name="Note 3 3 6 2 2 2" xfId="17151" xr:uid="{F7EC1AFC-719B-4992-91F0-6AA0F4E509CB}"/>
    <cellStyle name="Note 3 3 6 2 3" xfId="12933" xr:uid="{5F262A72-AC5D-42ED-9DEB-80881BE4793C}"/>
    <cellStyle name="Note 3 3 6 3" xfId="6567" xr:uid="{00000000-0005-0000-0000-0000CE210000}"/>
    <cellStyle name="Note 3 3 6 3 2" xfId="15006" xr:uid="{5DF07BA5-2815-47B2-A832-667F7B63CC6C}"/>
    <cellStyle name="Note 3 3 6 4" xfId="10788" xr:uid="{E2233DE2-C234-48A1-9572-D7507A8E5AE0}"/>
    <cellStyle name="Note 3 3 7" xfId="2696" xr:uid="{00000000-0005-0000-0000-0000CF210000}"/>
    <cellStyle name="Note 3 3 7 2" xfId="6980" xr:uid="{00000000-0005-0000-0000-0000D0210000}"/>
    <cellStyle name="Note 3 3 7 2 2" xfId="15419" xr:uid="{4DBD46C3-E91C-4E34-9A76-E416BBC1D057}"/>
    <cellStyle name="Note 3 3 7 3" xfId="11201" xr:uid="{09A50170-F123-49EA-B58E-5E7C458A284A}"/>
    <cellStyle name="Note 3 3 8" xfId="2755" xr:uid="{00000000-0005-0000-0000-0000D1210000}"/>
    <cellStyle name="Note 3 3 9" xfId="2836" xr:uid="{00000000-0005-0000-0000-0000D2210000}"/>
    <cellStyle name="Note 3 3 9 2" xfId="7060" xr:uid="{00000000-0005-0000-0000-0000D3210000}"/>
    <cellStyle name="Note 3 3 9 2 2" xfId="15499" xr:uid="{EA35B3B6-8DEB-4576-A8EF-390F8725C287}"/>
    <cellStyle name="Note 3 3 9 3" xfId="11281" xr:uid="{CF42E325-7AF6-4ECC-9265-8A5025F8687F}"/>
    <cellStyle name="Note 3 4" xfId="560" xr:uid="{00000000-0005-0000-0000-0000D4210000}"/>
    <cellStyle name="Note 3 4 10" xfId="9138" xr:uid="{AF928DBC-1C2D-40A3-BFDA-72CF3988ACB2}"/>
    <cellStyle name="Note 3 4 2" xfId="1020" xr:uid="{00000000-0005-0000-0000-0000D5210000}"/>
    <cellStyle name="Note 3 4 2 2" xfId="3252" xr:uid="{00000000-0005-0000-0000-0000D6210000}"/>
    <cellStyle name="Note 3 4 2 2 2" xfId="7475" xr:uid="{00000000-0005-0000-0000-0000D7210000}"/>
    <cellStyle name="Note 3 4 2 2 2 2" xfId="15914" xr:uid="{6A661123-6890-46A5-A0C4-BA217A8404B2}"/>
    <cellStyle name="Note 3 4 2 2 3" xfId="11696" xr:uid="{35444DCA-A44B-43EE-8881-D149D6313A15}"/>
    <cellStyle name="Note 3 4 2 3" xfId="5330" xr:uid="{00000000-0005-0000-0000-0000D8210000}"/>
    <cellStyle name="Note 3 4 2 3 2" xfId="13769" xr:uid="{051BC0CC-8851-4BD5-8E5C-F69B53B07311}"/>
    <cellStyle name="Note 3 4 2 4" xfId="9551" xr:uid="{6EC8AD6B-6426-4438-BB8F-1D7F744559F8}"/>
    <cellStyle name="Note 3 4 3" xfId="1435" xr:uid="{00000000-0005-0000-0000-0000D9210000}"/>
    <cellStyle name="Note 3 4 3 2" xfId="3665" xr:uid="{00000000-0005-0000-0000-0000DA210000}"/>
    <cellStyle name="Note 3 4 3 2 2" xfId="7888" xr:uid="{00000000-0005-0000-0000-0000DB210000}"/>
    <cellStyle name="Note 3 4 3 2 2 2" xfId="16327" xr:uid="{958E888B-5BD4-43D7-9C63-41CE1AB88FCB}"/>
    <cellStyle name="Note 3 4 3 2 3" xfId="12109" xr:uid="{F5E5A023-B276-4609-863F-8ED57E224668}"/>
    <cellStyle name="Note 3 4 3 3" xfId="5743" xr:uid="{00000000-0005-0000-0000-0000DC210000}"/>
    <cellStyle name="Note 3 4 3 3 2" xfId="14182" xr:uid="{9C1ED902-BA5B-48F9-97DC-17708C9A6831}"/>
    <cellStyle name="Note 3 4 3 4" xfId="9964" xr:uid="{F32DF41A-7460-4758-A081-9D27FD7F5266}"/>
    <cellStyle name="Note 3 4 4" xfId="1849" xr:uid="{00000000-0005-0000-0000-0000DD210000}"/>
    <cellStyle name="Note 3 4 4 2" xfId="4078" xr:uid="{00000000-0005-0000-0000-0000DE210000}"/>
    <cellStyle name="Note 3 4 4 2 2" xfId="8301" xr:uid="{00000000-0005-0000-0000-0000DF210000}"/>
    <cellStyle name="Note 3 4 4 2 2 2" xfId="16740" xr:uid="{1E8B813E-98EA-437B-BC9B-E2545C853944}"/>
    <cellStyle name="Note 3 4 4 2 3" xfId="12522" xr:uid="{86834B07-76D4-4F01-BD57-55C9965370B1}"/>
    <cellStyle name="Note 3 4 4 3" xfId="6156" xr:uid="{00000000-0005-0000-0000-0000E0210000}"/>
    <cellStyle name="Note 3 4 4 3 2" xfId="14595" xr:uid="{959F210F-8BB9-4525-BF3F-9313AD1ED91A}"/>
    <cellStyle name="Note 3 4 4 4" xfId="10377" xr:uid="{2B36DDC8-1A0C-44E3-A715-3D666E39E6D3}"/>
    <cellStyle name="Note 3 4 5" xfId="2262" xr:uid="{00000000-0005-0000-0000-0000E1210000}"/>
    <cellStyle name="Note 3 4 5 2" xfId="4491" xr:uid="{00000000-0005-0000-0000-0000E2210000}"/>
    <cellStyle name="Note 3 4 5 2 2" xfId="8714" xr:uid="{00000000-0005-0000-0000-0000E3210000}"/>
    <cellStyle name="Note 3 4 5 2 2 2" xfId="17153" xr:uid="{8769AB8E-1351-4CD1-9E2D-B448B378985B}"/>
    <cellStyle name="Note 3 4 5 2 3" xfId="12935" xr:uid="{DDD8C0EF-8BD8-4E09-B14B-25C6FEFB2CC3}"/>
    <cellStyle name="Note 3 4 5 3" xfId="6569" xr:uid="{00000000-0005-0000-0000-0000E4210000}"/>
    <cellStyle name="Note 3 4 5 3 2" xfId="15008" xr:uid="{8F5B00CD-3F43-4FEA-8D36-2FE5FDAB4C72}"/>
    <cellStyle name="Note 3 4 5 4" xfId="10790" xr:uid="{BC06C5C1-5678-48F9-9366-A3CCA97DE713}"/>
    <cellStyle name="Note 3 4 6" xfId="2698" xr:uid="{00000000-0005-0000-0000-0000E5210000}"/>
    <cellStyle name="Note 3 4 6 2" xfId="6982" xr:uid="{00000000-0005-0000-0000-0000E6210000}"/>
    <cellStyle name="Note 3 4 6 2 2" xfId="15421" xr:uid="{0AB7036B-EDA6-47A5-8078-33C23EE84A33}"/>
    <cellStyle name="Note 3 4 6 3" xfId="11203" xr:uid="{38227460-4C6D-4936-90C3-EF10663A8693}"/>
    <cellStyle name="Note 3 4 7" xfId="2757" xr:uid="{00000000-0005-0000-0000-0000E7210000}"/>
    <cellStyle name="Note 3 4 8" xfId="2838" xr:uid="{00000000-0005-0000-0000-0000E8210000}"/>
    <cellStyle name="Note 3 4 8 2" xfId="7062" xr:uid="{00000000-0005-0000-0000-0000E9210000}"/>
    <cellStyle name="Note 3 4 8 2 2" xfId="15501" xr:uid="{1B54E57D-1FA7-405F-9CB0-6D675E4EF0AD}"/>
    <cellStyle name="Note 3 4 8 3" xfId="11283" xr:uid="{CF147C65-B0D5-4B74-AF6A-5FDEC138C2C5}"/>
    <cellStyle name="Note 3 4 9" xfId="4917" xr:uid="{00000000-0005-0000-0000-0000EA210000}"/>
    <cellStyle name="Note 3 4 9 2" xfId="13356" xr:uid="{C858AD29-D544-45E3-AB9F-DD7F60A46FE3}"/>
    <cellStyle name="Note 3 5" xfId="561" xr:uid="{00000000-0005-0000-0000-0000EB210000}"/>
    <cellStyle name="Note 3 5 10" xfId="9139" xr:uid="{F04A4747-588E-4BB9-9258-CC2DEEE241B9}"/>
    <cellStyle name="Note 3 5 2" xfId="1021" xr:uid="{00000000-0005-0000-0000-0000EC210000}"/>
    <cellStyle name="Note 3 5 2 2" xfId="3253" xr:uid="{00000000-0005-0000-0000-0000ED210000}"/>
    <cellStyle name="Note 3 5 2 2 2" xfId="7476" xr:uid="{00000000-0005-0000-0000-0000EE210000}"/>
    <cellStyle name="Note 3 5 2 2 2 2" xfId="15915" xr:uid="{543837BA-161E-4186-8553-A98F7677FF45}"/>
    <cellStyle name="Note 3 5 2 2 3" xfId="11697" xr:uid="{0ABFC3B8-7CD6-4263-8B65-7ACEED751A65}"/>
    <cellStyle name="Note 3 5 2 3" xfId="5331" xr:uid="{00000000-0005-0000-0000-0000EF210000}"/>
    <cellStyle name="Note 3 5 2 3 2" xfId="13770" xr:uid="{86640E11-FDAA-4455-9271-6BBAA6801A4A}"/>
    <cellStyle name="Note 3 5 2 4" xfId="9552" xr:uid="{B38DBD4F-694F-4E27-BF33-C2418AA06047}"/>
    <cellStyle name="Note 3 5 3" xfId="1436" xr:uid="{00000000-0005-0000-0000-0000F0210000}"/>
    <cellStyle name="Note 3 5 3 2" xfId="3666" xr:uid="{00000000-0005-0000-0000-0000F1210000}"/>
    <cellStyle name="Note 3 5 3 2 2" xfId="7889" xr:uid="{00000000-0005-0000-0000-0000F2210000}"/>
    <cellStyle name="Note 3 5 3 2 2 2" xfId="16328" xr:uid="{939F00A5-811A-4F62-9033-7A33AD6615E4}"/>
    <cellStyle name="Note 3 5 3 2 3" xfId="12110" xr:uid="{F6C09212-45D0-43B9-BA8F-C71C63EE552E}"/>
    <cellStyle name="Note 3 5 3 3" xfId="5744" xr:uid="{00000000-0005-0000-0000-0000F3210000}"/>
    <cellStyle name="Note 3 5 3 3 2" xfId="14183" xr:uid="{3EA9BBD2-BD09-42BF-A54E-129D5E59A3E6}"/>
    <cellStyle name="Note 3 5 3 4" xfId="9965" xr:uid="{79B08D76-4948-4785-BAE9-FD26E365E345}"/>
    <cellStyle name="Note 3 5 4" xfId="1850" xr:uid="{00000000-0005-0000-0000-0000F4210000}"/>
    <cellStyle name="Note 3 5 4 2" xfId="4079" xr:uid="{00000000-0005-0000-0000-0000F5210000}"/>
    <cellStyle name="Note 3 5 4 2 2" xfId="8302" xr:uid="{00000000-0005-0000-0000-0000F6210000}"/>
    <cellStyle name="Note 3 5 4 2 2 2" xfId="16741" xr:uid="{B8B76207-AE58-4D70-8F96-00EEF1F78934}"/>
    <cellStyle name="Note 3 5 4 2 3" xfId="12523" xr:uid="{AB67B21C-FF7D-40F8-8BD9-F6FE7CAC56CD}"/>
    <cellStyle name="Note 3 5 4 3" xfId="6157" xr:uid="{00000000-0005-0000-0000-0000F7210000}"/>
    <cellStyle name="Note 3 5 4 3 2" xfId="14596" xr:uid="{D0E30CBA-34DB-42E8-B47B-0488470D7DBD}"/>
    <cellStyle name="Note 3 5 4 4" xfId="10378" xr:uid="{2C576847-C665-496A-BA6B-F30F70EC2CF7}"/>
    <cellStyle name="Note 3 5 5" xfId="2263" xr:uid="{00000000-0005-0000-0000-0000F8210000}"/>
    <cellStyle name="Note 3 5 5 2" xfId="4492" xr:uid="{00000000-0005-0000-0000-0000F9210000}"/>
    <cellStyle name="Note 3 5 5 2 2" xfId="8715" xr:uid="{00000000-0005-0000-0000-0000FA210000}"/>
    <cellStyle name="Note 3 5 5 2 2 2" xfId="17154" xr:uid="{996CA79A-51F7-47FC-B7F0-D1E75830ACC9}"/>
    <cellStyle name="Note 3 5 5 2 3" xfId="12936" xr:uid="{36AD6533-ACD7-4834-910E-398BAC8A8286}"/>
    <cellStyle name="Note 3 5 5 3" xfId="6570" xr:uid="{00000000-0005-0000-0000-0000FB210000}"/>
    <cellStyle name="Note 3 5 5 3 2" xfId="15009" xr:uid="{E41D0319-3AB8-4FA3-A2E6-A206AB4E2A67}"/>
    <cellStyle name="Note 3 5 5 4" xfId="10791" xr:uid="{8F58454F-B89D-481A-AFB9-54D9DE61101C}"/>
    <cellStyle name="Note 3 5 6" xfId="2699" xr:uid="{00000000-0005-0000-0000-0000FC210000}"/>
    <cellStyle name="Note 3 5 6 2" xfId="6983" xr:uid="{00000000-0005-0000-0000-0000FD210000}"/>
    <cellStyle name="Note 3 5 6 2 2" xfId="15422" xr:uid="{339AF512-773E-4F6D-970B-28B34F5A4920}"/>
    <cellStyle name="Note 3 5 6 3" xfId="11204" xr:uid="{3AFBD3CE-25B9-4570-9326-C4EF8A29284E}"/>
    <cellStyle name="Note 3 5 7" xfId="2758" xr:uid="{00000000-0005-0000-0000-0000FE210000}"/>
    <cellStyle name="Note 3 5 8" xfId="2839" xr:uid="{00000000-0005-0000-0000-0000FF210000}"/>
    <cellStyle name="Note 3 5 8 2" xfId="7063" xr:uid="{00000000-0005-0000-0000-000000220000}"/>
    <cellStyle name="Note 3 5 8 2 2" xfId="15502" xr:uid="{CC3BCCCD-77E3-4E2B-9110-2C74F8D4D407}"/>
    <cellStyle name="Note 3 5 8 3" xfId="11284" xr:uid="{03FE677F-66CC-4E12-8A43-733248CA28B7}"/>
    <cellStyle name="Note 3 5 9" xfId="4918" xr:uid="{00000000-0005-0000-0000-000001220000}"/>
    <cellStyle name="Note 3 5 9 2" xfId="13357" xr:uid="{5B68B85E-0B29-444A-A8E5-9CAFD86DB3CE}"/>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9FC25E9A-924F-40A2-B8AB-B823FB50C250}"/>
    <cellStyle name="Percent 4" xfId="4502" xr:uid="{00000000-0005-0000-0000-000007220000}"/>
    <cellStyle name="Percent 4 2" xfId="8718" xr:uid="{00000000-0005-0000-0000-000008220000}"/>
    <cellStyle name="Percent 4 2 2" xfId="17157" xr:uid="{803CCA83-0A41-4481-A3C6-8D6CEB61BDF3}"/>
    <cellStyle name="Percent 4 3" xfId="8721" xr:uid="{D09CD3FC-D632-4B66-A68A-5CC92F993799}"/>
    <cellStyle name="Percent 4 3 2" xfId="8725" xr:uid="{D57AE941-8E59-43F0-AB73-09B3BCCFA234}"/>
    <cellStyle name="Percent 4 3 2 2" xfId="17163" xr:uid="{4E82E8C2-AB59-4818-A1C9-F220D6D8F654}"/>
    <cellStyle name="Percent 4 3 3" xfId="17160" xr:uid="{31C8B0CE-BB5D-4D7B-8465-783E17412E01}"/>
    <cellStyle name="Percent 4 4" xfId="12943" xr:uid="{A810DB2D-5184-4BA7-BBF7-3426F91404E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2434</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2435</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2436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2437</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2622</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2617</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2444</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2445</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662</v>
      </c>
      <c r="F42" s="1262" t="s">
        <v>1307</v>
      </c>
    </row>
    <row r="43" spans="1:38" s="1262"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2" t="s">
        <v>2439</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4" t="s">
        <v>1334</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4" t="s">
        <v>2440</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71" t="s">
        <v>1315</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1318</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2441</v>
      </c>
      <c r="F140" s="2"/>
      <c r="G140" s="2"/>
      <c r="H140" s="2"/>
    </row>
    <row r="141" spans="4:37">
      <c r="E141" t="s">
        <v>113</v>
      </c>
      <c r="F141" t="s">
        <v>52</v>
      </c>
    </row>
    <row r="142" spans="4:37">
      <c r="E142" t="s">
        <v>114</v>
      </c>
      <c r="F142" t="s">
        <v>475</v>
      </c>
    </row>
    <row r="143" spans="4:37"/>
    <row r="144" spans="4:37">
      <c r="D144" s="2" t="s">
        <v>430</v>
      </c>
      <c r="E144" s="2" t="s">
        <v>2442</v>
      </c>
    </row>
    <row r="145" spans="3:7">
      <c r="E145" s="218" t="s">
        <v>2443</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4" t="s">
        <v>1382</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5" t="s">
        <v>1373</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1416</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22"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55" t="s">
        <v>2520</v>
      </c>
      <c r="B1" s="2456"/>
      <c r="C1" s="2456"/>
      <c r="D1" s="2456"/>
      <c r="E1" s="2456"/>
      <c r="F1" s="2456"/>
      <c r="G1" s="2456"/>
      <c r="H1" s="2456"/>
      <c r="I1" s="2456"/>
      <c r="J1" s="2456"/>
      <c r="K1" s="2456"/>
      <c r="L1" s="2456"/>
      <c r="M1" s="2456"/>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c r="AL1" s="2456"/>
      <c r="AM1" s="2456"/>
      <c r="AN1" s="2456"/>
      <c r="AO1" s="2456"/>
      <c r="AP1" s="2456"/>
      <c r="AQ1" s="2456"/>
      <c r="AR1" s="2456"/>
      <c r="AS1" s="2456"/>
      <c r="AT1" s="2456"/>
      <c r="AU1" s="2456"/>
      <c r="AV1" s="2456"/>
      <c r="AW1" s="2456"/>
      <c r="AX1" s="2456"/>
      <c r="AY1" s="2456"/>
      <c r="AZ1" s="2456"/>
      <c r="BA1" s="2456"/>
      <c r="BB1" s="2456"/>
      <c r="BC1" s="2456"/>
      <c r="BD1" s="2456"/>
      <c r="BE1" s="2457"/>
    </row>
    <row r="2" spans="1:65" ht="15.75" customHeight="1">
      <c r="A2" s="2458" t="s">
        <v>2568</v>
      </c>
      <c r="B2" s="2459"/>
      <c r="C2" s="2459"/>
      <c r="D2" s="2459"/>
      <c r="E2" s="2459"/>
      <c r="F2" s="2459"/>
      <c r="G2" s="2459"/>
      <c r="H2" s="2459"/>
      <c r="I2" s="2459"/>
      <c r="J2" s="2459"/>
      <c r="K2" s="2459"/>
      <c r="L2" s="2459"/>
      <c r="M2" s="2459"/>
      <c r="N2" s="2459"/>
      <c r="O2" s="2459"/>
      <c r="P2" s="2459"/>
      <c r="Q2" s="2459"/>
      <c r="R2" s="2459"/>
      <c r="S2" s="2459"/>
      <c r="T2" s="2459"/>
      <c r="U2" s="2459"/>
      <c r="V2" s="2459"/>
      <c r="W2" s="2459"/>
      <c r="X2" s="2459"/>
      <c r="Y2" s="2459"/>
      <c r="Z2" s="2459"/>
      <c r="AA2" s="2459"/>
      <c r="AB2" s="2459"/>
      <c r="AC2" s="2459"/>
      <c r="AD2" s="2459"/>
      <c r="AE2" s="2459"/>
      <c r="AF2" s="2459"/>
      <c r="AG2" s="2459"/>
      <c r="AH2" s="2459"/>
      <c r="AI2" s="2459"/>
      <c r="AJ2" s="2459"/>
      <c r="AK2" s="2459"/>
      <c r="AL2" s="2459"/>
      <c r="AM2" s="2459"/>
      <c r="AN2" s="2459"/>
      <c r="AO2" s="2459"/>
      <c r="AP2" s="2459"/>
      <c r="AQ2" s="2459"/>
      <c r="AR2" s="2459"/>
      <c r="AS2" s="2459"/>
      <c r="AT2" s="2459"/>
      <c r="AU2" s="2459"/>
      <c r="AV2" s="2459"/>
      <c r="AW2" s="2459"/>
      <c r="AX2" s="2459"/>
      <c r="AY2" s="2459"/>
      <c r="AZ2" s="2459"/>
      <c r="BA2" s="2459"/>
      <c r="BB2" s="2459"/>
      <c r="BC2" s="2459"/>
      <c r="BD2" s="2459"/>
      <c r="BE2" s="246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47" t="str">
        <f>IF(Application!H18="","",Application!H18)</f>
        <v>Creekview Affordable - Lot C-43</v>
      </c>
      <c r="M4" s="2448"/>
      <c r="N4" s="2448"/>
      <c r="O4" s="2448"/>
      <c r="P4" s="2448"/>
      <c r="Q4" s="2448"/>
      <c r="R4" s="2448"/>
      <c r="S4" s="2448"/>
      <c r="T4" s="2448"/>
      <c r="U4" s="2448"/>
      <c r="V4" s="2448"/>
      <c r="W4" s="2448"/>
      <c r="X4" s="2448"/>
      <c r="Y4" s="2448"/>
      <c r="Z4" s="2448"/>
      <c r="AA4" s="2448"/>
      <c r="AB4" s="2448"/>
      <c r="AC4" s="2449"/>
      <c r="AD4" s="1207"/>
      <c r="AE4" s="1207"/>
      <c r="AF4" s="2461" t="s">
        <v>2569</v>
      </c>
      <c r="AG4" s="2461"/>
      <c r="AH4" s="2461"/>
      <c r="AI4" s="2461"/>
      <c r="AJ4" s="2461"/>
      <c r="AK4" s="2461"/>
      <c r="AL4" s="2461"/>
      <c r="AM4" s="2461"/>
      <c r="AN4" s="2461"/>
      <c r="AO4" s="2461"/>
      <c r="AP4" s="2462"/>
      <c r="AQ4" s="2463"/>
      <c r="AR4" s="2463"/>
      <c r="AS4" s="2463"/>
      <c r="AT4" s="2463"/>
      <c r="AU4" s="246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1" t="s">
        <v>2570</v>
      </c>
      <c r="AG5" s="2461"/>
      <c r="AH5" s="2461"/>
      <c r="AI5" s="2461"/>
      <c r="AJ5" s="2461"/>
      <c r="AK5" s="2461"/>
      <c r="AL5" s="2461"/>
      <c r="AM5" s="2461"/>
      <c r="AN5" s="2461"/>
      <c r="AO5" s="2461"/>
      <c r="AP5" s="2462"/>
      <c r="AQ5" s="2463"/>
      <c r="AR5" s="2463"/>
      <c r="AS5" s="2463"/>
      <c r="AT5" s="2463"/>
      <c r="AU5" s="2463"/>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47" t="str">
        <f>IF(Application!H16="","",Application!H16)</f>
        <v>USA Properties Fund, Inc.</v>
      </c>
      <c r="M6" s="2448"/>
      <c r="N6" s="2448"/>
      <c r="O6" s="2448"/>
      <c r="P6" s="2448"/>
      <c r="Q6" s="2448"/>
      <c r="R6" s="2448"/>
      <c r="S6" s="2448"/>
      <c r="T6" s="2448"/>
      <c r="U6" s="2448"/>
      <c r="V6" s="2448"/>
      <c r="W6" s="2448"/>
      <c r="X6" s="2448"/>
      <c r="Y6" s="2448"/>
      <c r="Z6" s="2448"/>
      <c r="AA6" s="2448"/>
      <c r="AB6" s="2448"/>
      <c r="AC6" s="2449"/>
      <c r="AD6" s="1207"/>
      <c r="AE6" s="1207"/>
      <c r="AF6" s="2450" t="s">
        <v>2571</v>
      </c>
      <c r="AG6" s="2450"/>
      <c r="AH6" s="2450"/>
      <c r="AI6" s="2450"/>
      <c r="AJ6" s="2450"/>
      <c r="AK6" s="2450"/>
      <c r="AL6" s="2450"/>
      <c r="AM6" s="2450"/>
      <c r="AN6" s="2450"/>
      <c r="AO6" s="2450"/>
      <c r="AP6" s="2451">
        <v>0</v>
      </c>
      <c r="AQ6" s="2451"/>
      <c r="AR6" s="2451"/>
      <c r="AS6" s="2451"/>
      <c r="AT6" s="2451"/>
      <c r="AU6" s="2451"/>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0" t="s">
        <v>2572</v>
      </c>
      <c r="AG7" s="2450"/>
      <c r="AH7" s="2450"/>
      <c r="AI7" s="2450"/>
      <c r="AJ7" s="2450"/>
      <c r="AK7" s="2450"/>
      <c r="AL7" s="2450"/>
      <c r="AM7" s="2450"/>
      <c r="AN7" s="2450"/>
      <c r="AO7" s="2450"/>
      <c r="AP7" s="2451">
        <v>0</v>
      </c>
      <c r="AQ7" s="2451"/>
      <c r="AR7" s="2451"/>
      <c r="AS7" s="2451"/>
      <c r="AT7" s="2451"/>
      <c r="AU7" s="2451"/>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2" t="str">
        <f>Application!T196</f>
        <v>No</v>
      </c>
      <c r="AC8" s="2453"/>
      <c r="AD8" s="2454"/>
      <c r="AE8" s="1207"/>
      <c r="AF8" s="2450" t="s">
        <v>2573</v>
      </c>
      <c r="AG8" s="2450"/>
      <c r="AH8" s="2450"/>
      <c r="AI8" s="2450"/>
      <c r="AJ8" s="2450"/>
      <c r="AK8" s="2450"/>
      <c r="AL8" s="2450"/>
      <c r="AM8" s="2450"/>
      <c r="AN8" s="2450"/>
      <c r="AO8" s="2450"/>
      <c r="AP8" s="2451" t="s">
        <v>2525</v>
      </c>
      <c r="AQ8" s="2451"/>
      <c r="AR8" s="2451"/>
      <c r="AS8" s="2451"/>
      <c r="AT8" s="2451"/>
      <c r="AU8" s="2451"/>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5">
      <c r="A10" s="1206"/>
      <c r="B10" s="1209" t="s">
        <v>1859</v>
      </c>
      <c r="C10" s="1209"/>
      <c r="D10" s="1209"/>
      <c r="E10" s="1209"/>
      <c r="F10" s="1209"/>
      <c r="G10" s="1209"/>
      <c r="H10" s="1209"/>
      <c r="I10" s="1209"/>
      <c r="J10" s="1209"/>
      <c r="K10" s="1209"/>
      <c r="L10" s="1209"/>
      <c r="M10" s="1207"/>
      <c r="N10" s="2443">
        <f>Application!AO623</f>
        <v>12960000</v>
      </c>
      <c r="O10" s="2443"/>
      <c r="P10" s="2443"/>
      <c r="Q10" s="2443"/>
      <c r="R10" s="2443"/>
      <c r="S10" s="2443"/>
      <c r="T10" s="2443"/>
      <c r="U10" s="1207"/>
      <c r="V10" s="1207"/>
      <c r="W10" s="1207"/>
      <c r="X10" s="2429" t="s">
        <v>2575</v>
      </c>
      <c r="Y10" s="2429"/>
      <c r="Z10" s="2429"/>
      <c r="AA10" s="2429"/>
      <c r="AB10" s="2429"/>
      <c r="AC10" s="2429"/>
      <c r="AD10" s="2429"/>
      <c r="AE10" s="2429"/>
      <c r="AF10" s="2429"/>
      <c r="AG10" s="2429"/>
      <c r="AH10" s="2429"/>
      <c r="AI10" s="2429"/>
      <c r="AJ10" s="2429"/>
      <c r="AK10" s="2429"/>
      <c r="AL10" s="2444">
        <f>Application!W471</f>
        <v>18</v>
      </c>
      <c r="AM10" s="2445"/>
      <c r="AN10" s="2445"/>
      <c r="AO10" s="2445"/>
      <c r="AP10" s="2445"/>
      <c r="AQ10" s="1210"/>
      <c r="AR10" s="1210"/>
      <c r="AS10" s="1210"/>
      <c r="AT10" s="1210"/>
      <c r="AU10" s="1210"/>
      <c r="AV10" s="1210"/>
      <c r="AW10" s="1210"/>
      <c r="AX10" s="1207"/>
      <c r="AY10" s="1207"/>
      <c r="AZ10" s="1207"/>
      <c r="BA10" s="1207"/>
      <c r="BB10" s="1207"/>
      <c r="BC10" s="1207"/>
      <c r="BD10" s="1207"/>
      <c r="BE10" s="1208"/>
      <c r="BM10" s="1204" t="s">
        <v>2576</v>
      </c>
    </row>
    <row r="11" spans="1:65" ht="15">
      <c r="A11" s="1206"/>
      <c r="B11" s="1209" t="s">
        <v>1860</v>
      </c>
      <c r="C11" s="1209"/>
      <c r="D11" s="1209"/>
      <c r="E11" s="1209"/>
      <c r="F11" s="1209"/>
      <c r="G11" s="1209"/>
      <c r="H11" s="1209"/>
      <c r="I11" s="1209"/>
      <c r="J11" s="1209"/>
      <c r="K11" s="1209"/>
      <c r="L11" s="1209"/>
      <c r="M11" s="1207"/>
      <c r="N11" s="2443">
        <f>Application!AA911</f>
        <v>0</v>
      </c>
      <c r="O11" s="2443"/>
      <c r="P11" s="2443"/>
      <c r="Q11" s="2443"/>
      <c r="R11" s="2443"/>
      <c r="S11" s="2443"/>
      <c r="T11" s="2443"/>
      <c r="U11" s="1207"/>
      <c r="V11" s="1207"/>
      <c r="W11" s="1207"/>
      <c r="X11" s="2446" t="s">
        <v>2577</v>
      </c>
      <c r="Y11" s="2446"/>
      <c r="Z11" s="2446"/>
      <c r="AA11" s="2446"/>
      <c r="AB11" s="2446"/>
      <c r="AC11" s="2446"/>
      <c r="AD11" s="2446"/>
      <c r="AE11" s="2446"/>
      <c r="AF11" s="2446"/>
      <c r="AG11" s="2446"/>
      <c r="AH11" s="2446"/>
      <c r="AI11" s="2446"/>
      <c r="AJ11" s="2446"/>
      <c r="AK11" s="2446"/>
      <c r="AL11" s="2430"/>
      <c r="AM11" s="2431"/>
      <c r="AN11" s="2431"/>
      <c r="AO11" s="2431"/>
      <c r="AP11" s="2431"/>
      <c r="AQ11" s="1211"/>
      <c r="AR11" s="1212"/>
      <c r="AS11" s="1210"/>
      <c r="AT11" s="1210"/>
      <c r="AU11" s="1210"/>
      <c r="AV11" s="1210"/>
      <c r="AW11" s="1210"/>
      <c r="AX11" s="1207"/>
      <c r="AY11" s="1207"/>
      <c r="AZ11" s="1207"/>
      <c r="BA11" s="1207"/>
      <c r="BB11" s="1207"/>
      <c r="BC11" s="1207"/>
      <c r="BD11" s="1207"/>
      <c r="BE11" s="1208"/>
      <c r="BM11" s="1204" t="s">
        <v>2525</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29" t="s">
        <v>2578</v>
      </c>
      <c r="Y12" s="2429"/>
      <c r="Z12" s="2429"/>
      <c r="AA12" s="2429"/>
      <c r="AB12" s="2429"/>
      <c r="AC12" s="2429"/>
      <c r="AD12" s="2429"/>
      <c r="AE12" s="2429"/>
      <c r="AF12" s="2429"/>
      <c r="AG12" s="2429"/>
      <c r="AH12" s="2429"/>
      <c r="AI12" s="2429"/>
      <c r="AJ12" s="2429"/>
      <c r="AK12" s="2429"/>
      <c r="AL12" s="2430"/>
      <c r="AM12" s="2431"/>
      <c r="AN12" s="2431"/>
      <c r="AO12" s="2431"/>
      <c r="AP12" s="2431"/>
      <c r="AQ12" s="1210"/>
      <c r="AR12" s="1210"/>
      <c r="AS12" s="1210"/>
      <c r="AT12" s="1210"/>
      <c r="AU12" s="1210"/>
      <c r="AV12" s="1207"/>
      <c r="AW12" s="1207"/>
      <c r="AX12" s="1207"/>
      <c r="AY12" s="1207"/>
      <c r="AZ12" s="1207"/>
      <c r="BA12" s="1207"/>
      <c r="BB12" s="1207"/>
      <c r="BC12" s="1207"/>
      <c r="BD12" s="1207"/>
      <c r="BE12" s="1213"/>
      <c r="BM12" s="1204" t="s">
        <v>2579</v>
      </c>
    </row>
    <row r="13" spans="1:65" thickBot="1">
      <c r="A13" s="1207"/>
      <c r="B13" s="2432" t="s">
        <v>1861</v>
      </c>
      <c r="C13" s="2433"/>
      <c r="D13" s="2433"/>
      <c r="E13" s="2433"/>
      <c r="F13" s="2433"/>
      <c r="G13" s="2433"/>
      <c r="H13" s="2433"/>
      <c r="I13" s="2433"/>
      <c r="J13" s="2433"/>
      <c r="K13" s="2433"/>
      <c r="L13" s="2433"/>
      <c r="M13" s="2433"/>
      <c r="N13" s="2433"/>
      <c r="O13" s="2433"/>
      <c r="P13" s="2434"/>
      <c r="Q13" s="2435" t="s">
        <v>678</v>
      </c>
      <c r="R13" s="2436"/>
      <c r="S13" s="2436"/>
      <c r="T13" s="243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38" t="s">
        <v>1862</v>
      </c>
      <c r="C15" s="2439"/>
      <c r="D15" s="2439"/>
      <c r="E15" s="2439"/>
      <c r="F15" s="2439"/>
      <c r="G15" s="2439"/>
      <c r="H15" s="2439"/>
      <c r="I15" s="2439"/>
      <c r="J15" s="2439"/>
      <c r="K15" s="2439"/>
      <c r="L15" s="2439"/>
      <c r="M15" s="2439"/>
      <c r="N15" s="2439"/>
      <c r="O15" s="2439"/>
      <c r="P15" s="2439"/>
      <c r="Q15" s="2439"/>
      <c r="R15" s="2440"/>
      <c r="S15" s="2441" t="str">
        <f>IF(Application!AB214="","",Application!AB214)</f>
        <v/>
      </c>
      <c r="T15" s="2441"/>
      <c r="U15" s="2441"/>
      <c r="V15" s="2441"/>
      <c r="W15" s="244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3" t="s">
        <v>1863</v>
      </c>
      <c r="C17" s="2294"/>
      <c r="D17" s="2294"/>
      <c r="E17" s="2294"/>
      <c r="F17" s="2294"/>
      <c r="G17" s="2294"/>
      <c r="H17" s="2294"/>
      <c r="I17" s="2294"/>
      <c r="J17" s="2294"/>
      <c r="K17" s="2294"/>
      <c r="L17" s="2294"/>
      <c r="M17" s="2294"/>
      <c r="N17" s="2294"/>
      <c r="O17" s="2294"/>
      <c r="P17" s="2294"/>
      <c r="Q17" s="2294"/>
      <c r="R17" s="2294"/>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94"/>
      <c r="AS17" s="2294"/>
      <c r="AT17" s="2294"/>
      <c r="AU17" s="2294"/>
      <c r="AV17" s="2294"/>
      <c r="AW17" s="2294"/>
      <c r="AX17" s="2294"/>
      <c r="AY17" s="2295"/>
      <c r="AZ17" s="1207"/>
      <c r="BA17" s="1207"/>
      <c r="BB17" s="1207"/>
      <c r="BC17" s="1207"/>
      <c r="BD17" s="1207"/>
      <c r="BE17" s="1213"/>
      <c r="BF17" s="1205"/>
    </row>
    <row r="18" spans="1:58" ht="15.75" customHeight="1">
      <c r="A18" s="1207"/>
      <c r="B18" s="2422" t="s">
        <v>1864</v>
      </c>
      <c r="C18" s="2423"/>
      <c r="D18" s="2423"/>
      <c r="E18" s="2423"/>
      <c r="F18" s="2423"/>
      <c r="G18" s="2423"/>
      <c r="H18" s="2423"/>
      <c r="I18" s="2424"/>
      <c r="J18" s="2425" t="s">
        <v>1763</v>
      </c>
      <c r="K18" s="2426"/>
      <c r="L18" s="2426"/>
      <c r="M18" s="2426"/>
      <c r="N18" s="2426"/>
      <c r="O18" s="2427"/>
      <c r="P18" s="2425" t="s">
        <v>325</v>
      </c>
      <c r="Q18" s="2426"/>
      <c r="R18" s="2426"/>
      <c r="S18" s="2426"/>
      <c r="T18" s="2426"/>
      <c r="U18" s="2427"/>
      <c r="V18" s="2425" t="s">
        <v>326</v>
      </c>
      <c r="W18" s="2426"/>
      <c r="X18" s="2426"/>
      <c r="Y18" s="2426"/>
      <c r="Z18" s="2426"/>
      <c r="AA18" s="2427"/>
      <c r="AB18" s="2425" t="s">
        <v>164</v>
      </c>
      <c r="AC18" s="2426"/>
      <c r="AD18" s="2426"/>
      <c r="AE18" s="2426"/>
      <c r="AF18" s="2426"/>
      <c r="AG18" s="2427"/>
      <c r="AH18" s="2425" t="s">
        <v>165</v>
      </c>
      <c r="AI18" s="2426"/>
      <c r="AJ18" s="2426"/>
      <c r="AK18" s="2426"/>
      <c r="AL18" s="2426"/>
      <c r="AM18" s="2427"/>
      <c r="AN18" s="2425" t="s">
        <v>166</v>
      </c>
      <c r="AO18" s="2426"/>
      <c r="AP18" s="2426"/>
      <c r="AQ18" s="2426"/>
      <c r="AR18" s="2426"/>
      <c r="AS18" s="2427"/>
      <c r="AT18" s="2425" t="s">
        <v>1865</v>
      </c>
      <c r="AU18" s="2426"/>
      <c r="AV18" s="2426"/>
      <c r="AW18" s="2426"/>
      <c r="AX18" s="2426"/>
      <c r="AY18" s="2428"/>
      <c r="AZ18" s="1207"/>
      <c r="BA18" s="1207"/>
      <c r="BB18" s="1207"/>
      <c r="BC18" s="1207"/>
      <c r="BD18" s="1207"/>
      <c r="BE18" s="1213"/>
    </row>
    <row r="19" spans="1:58" ht="15">
      <c r="A19" s="1207"/>
      <c r="B19" s="2419">
        <v>0.3</v>
      </c>
      <c r="C19" s="2420"/>
      <c r="D19" s="2420"/>
      <c r="E19" s="2420"/>
      <c r="F19" s="2420"/>
      <c r="G19" s="2420"/>
      <c r="H19" s="2420"/>
      <c r="I19" s="2421"/>
      <c r="J19" s="2404">
        <f>SUM(P19:AS19)</f>
        <v>12</v>
      </c>
      <c r="K19" s="2405"/>
      <c r="L19" s="2405"/>
      <c r="M19" s="2405"/>
      <c r="N19" s="2405"/>
      <c r="O19" s="2406"/>
      <c r="P19" s="2404" cm="1">
        <f t="array" ref="P19">SUMPRODUCT((Application!$B$714:$B$738 = 'CalHFA Addendum'!P$18)*(Application!$AC$714:$AC$738 = 'CalHFA Addendum'!$B19),Application!$G$714:$G$738)</f>
        <v>0</v>
      </c>
      <c r="Q19" s="2405"/>
      <c r="R19" s="2405"/>
      <c r="S19" s="2405"/>
      <c r="T19" s="2405"/>
      <c r="U19" s="2406"/>
      <c r="V19" s="2404" cm="1">
        <f t="array" ref="V19">SUMPRODUCT((Application!$B$714:$B$738 = 'CalHFA Addendum'!V$18)*(Application!$AC$714:$AC$738 = 'CalHFA Addendum'!$B19),Application!$G$714:$G$738)</f>
        <v>4</v>
      </c>
      <c r="W19" s="2405"/>
      <c r="X19" s="2405"/>
      <c r="Y19" s="2405"/>
      <c r="Z19" s="2405"/>
      <c r="AA19" s="2406"/>
      <c r="AB19" s="2404" cm="1">
        <f t="array" ref="AB19">SUMPRODUCT((Application!$B$714:$B$738 = 'CalHFA Addendum'!AB$18)*(Application!$AC$714:$AC$738 = 'CalHFA Addendum'!$B19),Application!$G$714:$G$738)</f>
        <v>5</v>
      </c>
      <c r="AC19" s="2405"/>
      <c r="AD19" s="2405"/>
      <c r="AE19" s="2405"/>
      <c r="AF19" s="2405"/>
      <c r="AG19" s="2406"/>
      <c r="AH19" s="2404" cm="1">
        <f t="array" ref="AH19">SUMPRODUCT((Application!$B$714:$B$738 = 'CalHFA Addendum'!AH$18)*(Application!$AC$714:$AC$738 = 'CalHFA Addendum'!$B19),Application!$G$714:$G$738)</f>
        <v>3</v>
      </c>
      <c r="AI19" s="2405"/>
      <c r="AJ19" s="2405"/>
      <c r="AK19" s="2405"/>
      <c r="AL19" s="2405"/>
      <c r="AM19" s="2406"/>
      <c r="AN19" s="2404" cm="1">
        <f t="array" ref="AN19">SUMPRODUCT((Application!$B$714:$B$738 = 'CalHFA Addendum'!AN$18)*(Application!$AC$714:$AC$738 = 'CalHFA Addendum'!$B19),Application!$G$714:$G$738)</f>
        <v>0</v>
      </c>
      <c r="AO19" s="2405"/>
      <c r="AP19" s="2405"/>
      <c r="AQ19" s="2405"/>
      <c r="AR19" s="2405"/>
      <c r="AS19" s="2406"/>
      <c r="AT19" s="2407">
        <f t="shared" ref="AT19:AT28" si="0">J19/$J$29</f>
        <v>0.10344827586206896</v>
      </c>
      <c r="AU19" s="2408"/>
      <c r="AV19" s="2408"/>
      <c r="AW19" s="2408"/>
      <c r="AX19" s="2408"/>
      <c r="AY19" s="2409"/>
      <c r="AZ19" s="1214"/>
      <c r="BA19" s="1207"/>
      <c r="BB19" s="1207"/>
      <c r="BC19" s="1207"/>
      <c r="BD19" s="1207"/>
      <c r="BE19" s="1213"/>
    </row>
    <row r="20" spans="1:58" ht="15" customHeight="1">
      <c r="A20" s="1207"/>
      <c r="B20" s="2419">
        <v>0.4</v>
      </c>
      <c r="C20" s="2420"/>
      <c r="D20" s="2420"/>
      <c r="E20" s="2420"/>
      <c r="F20" s="2420"/>
      <c r="G20" s="2420"/>
      <c r="H20" s="2420"/>
      <c r="I20" s="2421"/>
      <c r="J20" s="2404">
        <f t="shared" ref="J20:J28" si="1">SUM(P20:AS20)</f>
        <v>0</v>
      </c>
      <c r="K20" s="2405"/>
      <c r="L20" s="2405"/>
      <c r="M20" s="2405"/>
      <c r="N20" s="2405"/>
      <c r="O20" s="2406"/>
      <c r="P20" s="2404" cm="1">
        <f t="array" ref="P20">SUMPRODUCT((Application!$B$714:$B$738 = 'CalHFA Addendum'!P$18)*(Application!$AC$714:$AC$738 = 'CalHFA Addendum'!$B20),Application!$G$714:$G$738)</f>
        <v>0</v>
      </c>
      <c r="Q20" s="2405"/>
      <c r="R20" s="2405"/>
      <c r="S20" s="2405"/>
      <c r="T20" s="2405"/>
      <c r="U20" s="2406"/>
      <c r="V20" s="2404" cm="1">
        <f t="array" ref="V20">SUMPRODUCT((Application!$B$714:$B$738 = 'CalHFA Addendum'!V$18)*(Application!$AC$714:$AC$738 = 'CalHFA Addendum'!$B20),Application!$G$714:$G$738)</f>
        <v>0</v>
      </c>
      <c r="W20" s="2405"/>
      <c r="X20" s="2405"/>
      <c r="Y20" s="2405"/>
      <c r="Z20" s="2405"/>
      <c r="AA20" s="2406"/>
      <c r="AB20" s="2404" cm="1">
        <f t="array" ref="AB20">SUMPRODUCT((Application!$B$714:$B$738 = 'CalHFA Addendum'!AB$18)*(Application!$AC$714:$AC$738 = 'CalHFA Addendum'!$B20),Application!$G$714:$G$738)</f>
        <v>0</v>
      </c>
      <c r="AC20" s="2405"/>
      <c r="AD20" s="2405"/>
      <c r="AE20" s="2405"/>
      <c r="AF20" s="2405"/>
      <c r="AG20" s="2406"/>
      <c r="AH20" s="2404" cm="1">
        <f t="array" ref="AH20">SUMPRODUCT((Application!$B$714:$B$738 = 'CalHFA Addendum'!AH$18)*(Application!$AC$714:$AC$738 = 'CalHFA Addendum'!$B20),Application!$G$714:$G$738)</f>
        <v>0</v>
      </c>
      <c r="AI20" s="2405"/>
      <c r="AJ20" s="2405"/>
      <c r="AK20" s="2405"/>
      <c r="AL20" s="2405"/>
      <c r="AM20" s="2406"/>
      <c r="AN20" s="2404" cm="1">
        <f t="array" ref="AN20">SUMPRODUCT((Application!$B$714:$B$738 = 'CalHFA Addendum'!AN$18)*(Application!$AC$714:$AC$738 = 'CalHFA Addendum'!$B20),Application!$G$714:$G$738)</f>
        <v>0</v>
      </c>
      <c r="AO20" s="2405"/>
      <c r="AP20" s="2405"/>
      <c r="AQ20" s="2405"/>
      <c r="AR20" s="2405"/>
      <c r="AS20" s="2406"/>
      <c r="AT20" s="2407">
        <f t="shared" si="0"/>
        <v>0</v>
      </c>
      <c r="AU20" s="2408"/>
      <c r="AV20" s="2408"/>
      <c r="AW20" s="2408"/>
      <c r="AX20" s="2408"/>
      <c r="AY20" s="2409"/>
      <c r="AZ20" s="1207"/>
      <c r="BA20" s="1207"/>
      <c r="BB20" s="1207"/>
      <c r="BC20" s="1207"/>
      <c r="BD20" s="1207"/>
      <c r="BE20" s="1213"/>
    </row>
    <row r="21" spans="1:58" ht="15">
      <c r="A21" s="1207"/>
      <c r="B21" s="2419">
        <v>0.5</v>
      </c>
      <c r="C21" s="2420"/>
      <c r="D21" s="2420"/>
      <c r="E21" s="2420"/>
      <c r="F21" s="2420"/>
      <c r="G21" s="2420"/>
      <c r="H21" s="2420"/>
      <c r="I21" s="2421"/>
      <c r="J21" s="2404">
        <f t="shared" si="1"/>
        <v>41</v>
      </c>
      <c r="K21" s="2405"/>
      <c r="L21" s="2405"/>
      <c r="M21" s="2405"/>
      <c r="N21" s="2405"/>
      <c r="O21" s="2406"/>
      <c r="P21" s="2404" cm="1">
        <f t="array" ref="P21">SUMPRODUCT((Application!$B$714:$B$738 = 'CalHFA Addendum'!P$18)*(Application!$AC$714:$AC$738 = 'CalHFA Addendum'!$B21),Application!$G$714:$G$738)</f>
        <v>0</v>
      </c>
      <c r="Q21" s="2405"/>
      <c r="R21" s="2405"/>
      <c r="S21" s="2405"/>
      <c r="T21" s="2405"/>
      <c r="U21" s="2406"/>
      <c r="V21" s="2404" cm="1">
        <f t="array" ref="V21">SUMPRODUCT((Application!$B$714:$B$738 = 'CalHFA Addendum'!V$18)*(Application!$AC$714:$AC$738 = 'CalHFA Addendum'!$B21),Application!$G$714:$G$738)</f>
        <v>14</v>
      </c>
      <c r="W21" s="2405"/>
      <c r="X21" s="2405"/>
      <c r="Y21" s="2405"/>
      <c r="Z21" s="2405"/>
      <c r="AA21" s="2406"/>
      <c r="AB21" s="2404" cm="1">
        <f t="array" ref="AB21">SUMPRODUCT((Application!$B$714:$B$738 = 'CalHFA Addendum'!AB$18)*(Application!$AC$714:$AC$738 = 'CalHFA Addendum'!$B21),Application!$G$714:$G$738)</f>
        <v>17</v>
      </c>
      <c r="AC21" s="2405"/>
      <c r="AD21" s="2405"/>
      <c r="AE21" s="2405"/>
      <c r="AF21" s="2405"/>
      <c r="AG21" s="2406"/>
      <c r="AH21" s="2404" cm="1">
        <f t="array" ref="AH21">SUMPRODUCT((Application!$B$714:$B$738 = 'CalHFA Addendum'!AH$18)*(Application!$AC$714:$AC$738 = 'CalHFA Addendum'!$B21),Application!$G$714:$G$738)</f>
        <v>10</v>
      </c>
      <c r="AI21" s="2405"/>
      <c r="AJ21" s="2405"/>
      <c r="AK21" s="2405"/>
      <c r="AL21" s="2405"/>
      <c r="AM21" s="2406"/>
      <c r="AN21" s="2404" cm="1">
        <f t="array" ref="AN21">SUMPRODUCT((Application!$B$714:$B$738 = 'CalHFA Addendum'!AN$18)*(Application!$AC$714:$AC$738 = 'CalHFA Addendum'!$B21),Application!$G$714:$G$738)</f>
        <v>0</v>
      </c>
      <c r="AO21" s="2405"/>
      <c r="AP21" s="2405"/>
      <c r="AQ21" s="2405"/>
      <c r="AR21" s="2405"/>
      <c r="AS21" s="2406"/>
      <c r="AT21" s="2407">
        <f t="shared" si="0"/>
        <v>0.35344827586206895</v>
      </c>
      <c r="AU21" s="2408"/>
      <c r="AV21" s="2408"/>
      <c r="AW21" s="2408"/>
      <c r="AX21" s="2408"/>
      <c r="AY21" s="2409"/>
      <c r="AZ21" s="1207"/>
      <c r="BA21" s="1207"/>
      <c r="BB21" s="1207"/>
      <c r="BC21" s="1207"/>
      <c r="BD21" s="1207"/>
      <c r="BE21" s="1213"/>
    </row>
    <row r="22" spans="1:58" ht="15">
      <c r="A22" s="1207"/>
      <c r="B22" s="2419">
        <v>0.6</v>
      </c>
      <c r="C22" s="2420"/>
      <c r="D22" s="2420"/>
      <c r="E22" s="2420"/>
      <c r="F22" s="2420"/>
      <c r="G22" s="2420"/>
      <c r="H22" s="2420"/>
      <c r="I22" s="2421"/>
      <c r="J22" s="2404">
        <f t="shared" si="1"/>
        <v>0</v>
      </c>
      <c r="K22" s="2405"/>
      <c r="L22" s="2405"/>
      <c r="M22" s="2405"/>
      <c r="N22" s="2405"/>
      <c r="O22" s="2406"/>
      <c r="P22" s="2404" cm="1">
        <f t="array" ref="P22">SUMPRODUCT((Application!$B$714:$B$738 = 'CalHFA Addendum'!P$18)*(Application!$AC$714:$AC$738 = 'CalHFA Addendum'!$B22),Application!$G$714:$G$738)</f>
        <v>0</v>
      </c>
      <c r="Q22" s="2405"/>
      <c r="R22" s="2405"/>
      <c r="S22" s="2405"/>
      <c r="T22" s="2405"/>
      <c r="U22" s="2406"/>
      <c r="V22" s="2404" cm="1">
        <f t="array" ref="V22">SUMPRODUCT((Application!$B$714:$B$738 = 'CalHFA Addendum'!V$18)*(Application!$AC$714:$AC$738 = 'CalHFA Addendum'!$B22),Application!$G$714:$G$738)</f>
        <v>0</v>
      </c>
      <c r="W22" s="2405"/>
      <c r="X22" s="2405"/>
      <c r="Y22" s="2405"/>
      <c r="Z22" s="2405"/>
      <c r="AA22" s="2406"/>
      <c r="AB22" s="2404" cm="1">
        <f t="array" ref="AB22">SUMPRODUCT((Application!$B$714:$B$738 = 'CalHFA Addendum'!AB$18)*(Application!$AC$714:$AC$738 = 'CalHFA Addendum'!$B22),Application!$G$714:$G$738)</f>
        <v>0</v>
      </c>
      <c r="AC22" s="2405"/>
      <c r="AD22" s="2405"/>
      <c r="AE22" s="2405"/>
      <c r="AF22" s="2405"/>
      <c r="AG22" s="2406"/>
      <c r="AH22" s="2404" cm="1">
        <f t="array" ref="AH22">SUMPRODUCT((Application!$B$714:$B$738 = 'CalHFA Addendum'!AH$18)*(Application!$AC$714:$AC$738 = 'CalHFA Addendum'!$B22),Application!$G$714:$G$738)</f>
        <v>0</v>
      </c>
      <c r="AI22" s="2405"/>
      <c r="AJ22" s="2405"/>
      <c r="AK22" s="2405"/>
      <c r="AL22" s="2405"/>
      <c r="AM22" s="2406"/>
      <c r="AN22" s="2404" cm="1">
        <f t="array" ref="AN22">SUMPRODUCT((Application!$B$714:$B$738 = 'CalHFA Addendum'!AN$18)*(Application!$AC$714:$AC$738 = 'CalHFA Addendum'!$B22),Application!$G$714:$G$738)</f>
        <v>0</v>
      </c>
      <c r="AO22" s="2405"/>
      <c r="AP22" s="2405"/>
      <c r="AQ22" s="2405"/>
      <c r="AR22" s="2405"/>
      <c r="AS22" s="2406"/>
      <c r="AT22" s="2407">
        <f t="shared" si="0"/>
        <v>0</v>
      </c>
      <c r="AU22" s="2408"/>
      <c r="AV22" s="2408"/>
      <c r="AW22" s="2408"/>
      <c r="AX22" s="2408"/>
      <c r="AY22" s="2409"/>
      <c r="AZ22" s="1207"/>
      <c r="BA22" s="1207"/>
      <c r="BB22" s="1207"/>
      <c r="BC22" s="1207"/>
      <c r="BD22" s="1207"/>
      <c r="BE22" s="1213"/>
    </row>
    <row r="23" spans="1:58" ht="15">
      <c r="A23" s="1207"/>
      <c r="B23" s="2419">
        <v>0.7</v>
      </c>
      <c r="C23" s="2420"/>
      <c r="D23" s="2420"/>
      <c r="E23" s="2420"/>
      <c r="F23" s="2420"/>
      <c r="G23" s="2420"/>
      <c r="H23" s="2420"/>
      <c r="I23" s="2421"/>
      <c r="J23" s="2404">
        <f t="shared" si="1"/>
        <v>59</v>
      </c>
      <c r="K23" s="2405"/>
      <c r="L23" s="2405"/>
      <c r="M23" s="2405"/>
      <c r="N23" s="2405"/>
      <c r="O23" s="2406"/>
      <c r="P23" s="2404" cm="1">
        <f t="array" ref="P23">SUMPRODUCT((Application!$B$714:$B$738 = 'CalHFA Addendum'!P$18)*(Application!$AC$714:$AC$738 = 'CalHFA Addendum'!$B23),Application!$G$714:$G$738)</f>
        <v>0</v>
      </c>
      <c r="Q23" s="2405"/>
      <c r="R23" s="2405"/>
      <c r="S23" s="2405"/>
      <c r="T23" s="2405"/>
      <c r="U23" s="2406"/>
      <c r="V23" s="2404" cm="1">
        <f t="array" ref="V23">SUMPRODUCT((Application!$B$714:$B$738 = 'CalHFA Addendum'!V$18)*(Application!$AC$714:$AC$738 = 'CalHFA Addendum'!$B23),Application!$G$714:$G$738)</f>
        <v>21</v>
      </c>
      <c r="W23" s="2405"/>
      <c r="X23" s="2405"/>
      <c r="Y23" s="2405"/>
      <c r="Z23" s="2405"/>
      <c r="AA23" s="2406"/>
      <c r="AB23" s="2404" cm="1">
        <f t="array" ref="AB23">SUMPRODUCT((Application!$B$714:$B$738 = 'CalHFA Addendum'!AB$18)*(Application!$AC$714:$AC$738 = 'CalHFA Addendum'!$B23),Application!$G$714:$G$738)</f>
        <v>23</v>
      </c>
      <c r="AC23" s="2405"/>
      <c r="AD23" s="2405"/>
      <c r="AE23" s="2405"/>
      <c r="AF23" s="2405"/>
      <c r="AG23" s="2406"/>
      <c r="AH23" s="2404" cm="1">
        <f t="array" ref="AH23">SUMPRODUCT((Application!$B$714:$B$738 = 'CalHFA Addendum'!AH$18)*(Application!$AC$714:$AC$738 = 'CalHFA Addendum'!$B23),Application!$G$714:$G$738)</f>
        <v>15</v>
      </c>
      <c r="AI23" s="2405"/>
      <c r="AJ23" s="2405"/>
      <c r="AK23" s="2405"/>
      <c r="AL23" s="2405"/>
      <c r="AM23" s="2406"/>
      <c r="AN23" s="2404" cm="1">
        <f t="array" ref="AN23">SUMPRODUCT((Application!$B$714:$B$738 = 'CalHFA Addendum'!AN$18)*(Application!$AC$714:$AC$738 = 'CalHFA Addendum'!$B23),Application!$G$714:$G$738)</f>
        <v>0</v>
      </c>
      <c r="AO23" s="2405"/>
      <c r="AP23" s="2405"/>
      <c r="AQ23" s="2405"/>
      <c r="AR23" s="2405"/>
      <c r="AS23" s="2406"/>
      <c r="AT23" s="2407">
        <f t="shared" si="0"/>
        <v>0.50862068965517238</v>
      </c>
      <c r="AU23" s="2408"/>
      <c r="AV23" s="2408"/>
      <c r="AW23" s="2408"/>
      <c r="AX23" s="2408"/>
      <c r="AY23" s="2409"/>
      <c r="AZ23" s="1207"/>
      <c r="BA23" s="1207"/>
      <c r="BB23" s="1207"/>
      <c r="BC23" s="1207"/>
      <c r="BD23" s="1207"/>
      <c r="BE23" s="1213"/>
    </row>
    <row r="24" spans="1:58" ht="15">
      <c r="A24" s="1207"/>
      <c r="B24" s="2419">
        <v>0.8</v>
      </c>
      <c r="C24" s="2420"/>
      <c r="D24" s="2420"/>
      <c r="E24" s="2420"/>
      <c r="F24" s="2420"/>
      <c r="G24" s="2420"/>
      <c r="H24" s="2420"/>
      <c r="I24" s="2421"/>
      <c r="J24" s="2404">
        <f t="shared" si="1"/>
        <v>3</v>
      </c>
      <c r="K24" s="2405"/>
      <c r="L24" s="2405"/>
      <c r="M24" s="2405"/>
      <c r="N24" s="2405"/>
      <c r="O24" s="2406"/>
      <c r="P24" s="2404" cm="1">
        <f t="array" ref="P24">SUMPRODUCT((Application!$B$714:$B$738 = 'CalHFA Addendum'!P$18)*(Application!$AC$714:$AC$738 = 'CalHFA Addendum'!$B24),Application!$G$714:$G$738)</f>
        <v>0</v>
      </c>
      <c r="Q24" s="2405"/>
      <c r="R24" s="2405"/>
      <c r="S24" s="2405"/>
      <c r="T24" s="2405"/>
      <c r="U24" s="2406"/>
      <c r="V24" s="2404" cm="1">
        <f t="array" ref="V24">SUMPRODUCT((Application!$B$714:$B$738 = 'CalHFA Addendum'!V$18)*(Application!$AC$714:$AC$738 = 'CalHFA Addendum'!$B24),Application!$G$714:$G$738)</f>
        <v>1</v>
      </c>
      <c r="W24" s="2405"/>
      <c r="X24" s="2405"/>
      <c r="Y24" s="2405"/>
      <c r="Z24" s="2405"/>
      <c r="AA24" s="2406"/>
      <c r="AB24" s="2404" cm="1">
        <f t="array" ref="AB24">SUMPRODUCT((Application!$B$714:$B$738 = 'CalHFA Addendum'!AB$18)*(Application!$AC$714:$AC$738 = 'CalHFA Addendum'!$B24),Application!$G$714:$G$738)</f>
        <v>1</v>
      </c>
      <c r="AC24" s="2405"/>
      <c r="AD24" s="2405"/>
      <c r="AE24" s="2405"/>
      <c r="AF24" s="2405"/>
      <c r="AG24" s="2406"/>
      <c r="AH24" s="2404" cm="1">
        <f t="array" ref="AH24">SUMPRODUCT((Application!$B$714:$B$738 = 'CalHFA Addendum'!AH$18)*(Application!$AC$714:$AC$738 = 'CalHFA Addendum'!$B24),Application!$G$714:$G$738)</f>
        <v>1</v>
      </c>
      <c r="AI24" s="2405"/>
      <c r="AJ24" s="2405"/>
      <c r="AK24" s="2405"/>
      <c r="AL24" s="2405"/>
      <c r="AM24" s="2406"/>
      <c r="AN24" s="2404" cm="1">
        <f t="array" ref="AN24">SUMPRODUCT((Application!$B$714:$B$738 = 'CalHFA Addendum'!AN$18)*(Application!$AC$714:$AC$738 = 'CalHFA Addendum'!$B24),Application!$G$714:$G$738)</f>
        <v>0</v>
      </c>
      <c r="AO24" s="2405"/>
      <c r="AP24" s="2405"/>
      <c r="AQ24" s="2405"/>
      <c r="AR24" s="2405"/>
      <c r="AS24" s="2406"/>
      <c r="AT24" s="2407">
        <f t="shared" si="0"/>
        <v>2.5862068965517241E-2</v>
      </c>
      <c r="AU24" s="2408"/>
      <c r="AV24" s="2408"/>
      <c r="AW24" s="2408"/>
      <c r="AX24" s="2408"/>
      <c r="AY24" s="2409"/>
      <c r="AZ24" s="1207"/>
      <c r="BA24" s="1207"/>
      <c r="BB24" s="1207"/>
      <c r="BC24" s="1207"/>
      <c r="BD24" s="1207"/>
      <c r="BE24" s="1213"/>
    </row>
    <row r="25" spans="1:58" ht="15">
      <c r="A25" s="1207"/>
      <c r="B25" s="2419">
        <v>0.9</v>
      </c>
      <c r="C25" s="2420"/>
      <c r="D25" s="2420"/>
      <c r="E25" s="2420"/>
      <c r="F25" s="2420"/>
      <c r="G25" s="2420"/>
      <c r="H25" s="2420"/>
      <c r="I25" s="2421"/>
      <c r="J25" s="2404">
        <f t="shared" si="1"/>
        <v>0</v>
      </c>
      <c r="K25" s="2405"/>
      <c r="L25" s="2405"/>
      <c r="M25" s="2405"/>
      <c r="N25" s="2405"/>
      <c r="O25" s="2406"/>
      <c r="P25" s="2404" cm="1">
        <f t="array" ref="P25">SUMPRODUCT((Application!$B$714:$B$738 = 'CalHFA Addendum'!P$18)*(Application!$AC$714:$AC$738 = 'CalHFA Addendum'!$B25),Application!$G$714:$G$738)</f>
        <v>0</v>
      </c>
      <c r="Q25" s="2405"/>
      <c r="R25" s="2405"/>
      <c r="S25" s="2405"/>
      <c r="T25" s="2405"/>
      <c r="U25" s="2406"/>
      <c r="V25" s="2404" cm="1">
        <f t="array" ref="V25">SUMPRODUCT((Application!$B$714:$B$738 = 'CalHFA Addendum'!V$18)*(Application!$AC$714:$AC$738 = 'CalHFA Addendum'!$B25),Application!$G$714:$G$738)</f>
        <v>0</v>
      </c>
      <c r="W25" s="2405"/>
      <c r="X25" s="2405"/>
      <c r="Y25" s="2405"/>
      <c r="Z25" s="2405"/>
      <c r="AA25" s="2406"/>
      <c r="AB25" s="2404" cm="1">
        <f t="array" ref="AB25">SUMPRODUCT((Application!$B$714:$B$738 = 'CalHFA Addendum'!AB$18)*(Application!$AC$714:$AC$738 = 'CalHFA Addendum'!$B25),Application!$G$714:$G$738)</f>
        <v>0</v>
      </c>
      <c r="AC25" s="2405"/>
      <c r="AD25" s="2405"/>
      <c r="AE25" s="2405"/>
      <c r="AF25" s="2405"/>
      <c r="AG25" s="2406"/>
      <c r="AH25" s="2404" cm="1">
        <f t="array" ref="AH25">SUMPRODUCT((Application!$B$714:$B$738 = 'CalHFA Addendum'!AH$18)*(Application!$AC$714:$AC$738 = 'CalHFA Addendum'!$B25),Application!$G$714:$G$738)</f>
        <v>0</v>
      </c>
      <c r="AI25" s="2405"/>
      <c r="AJ25" s="2405"/>
      <c r="AK25" s="2405"/>
      <c r="AL25" s="2405"/>
      <c r="AM25" s="2406"/>
      <c r="AN25" s="2404" cm="1">
        <f t="array" ref="AN25">SUMPRODUCT((Application!$B$714:$B$738 = 'CalHFA Addendum'!AN$18)*(Application!$AC$714:$AC$738 = 'CalHFA Addendum'!$B25),Application!$G$714:$G$738)</f>
        <v>0</v>
      </c>
      <c r="AO25" s="2405"/>
      <c r="AP25" s="2405"/>
      <c r="AQ25" s="2405"/>
      <c r="AR25" s="2405"/>
      <c r="AS25" s="2406"/>
      <c r="AT25" s="2407">
        <f t="shared" si="0"/>
        <v>0</v>
      </c>
      <c r="AU25" s="2408"/>
      <c r="AV25" s="2408"/>
      <c r="AW25" s="2408"/>
      <c r="AX25" s="2408"/>
      <c r="AY25" s="2409"/>
      <c r="AZ25" s="1207"/>
      <c r="BA25" s="1207"/>
      <c r="BB25" s="1207"/>
      <c r="BC25" s="1207"/>
      <c r="BD25" s="1207"/>
      <c r="BE25" s="1213"/>
    </row>
    <row r="26" spans="1:58" ht="15">
      <c r="A26" s="1207"/>
      <c r="B26" s="2419">
        <v>1</v>
      </c>
      <c r="C26" s="2420"/>
      <c r="D26" s="2420"/>
      <c r="E26" s="2420"/>
      <c r="F26" s="2420"/>
      <c r="G26" s="2420"/>
      <c r="H26" s="2420"/>
      <c r="I26" s="2421"/>
      <c r="J26" s="2404">
        <f t="shared" si="1"/>
        <v>0</v>
      </c>
      <c r="K26" s="2405"/>
      <c r="L26" s="2405"/>
      <c r="M26" s="2405"/>
      <c r="N26" s="2405"/>
      <c r="O26" s="2406"/>
      <c r="P26" s="2404" cm="1">
        <f t="array" ref="P26">SUMPRODUCT((Application!$B$714:$B$738 = 'CalHFA Addendum'!P$18)*(Application!$AC$714:$AC$738 = 'CalHFA Addendum'!$B26),Application!$G$714:$G$738)</f>
        <v>0</v>
      </c>
      <c r="Q26" s="2405"/>
      <c r="R26" s="2405"/>
      <c r="S26" s="2405"/>
      <c r="T26" s="2405"/>
      <c r="U26" s="2406"/>
      <c r="V26" s="2404" cm="1">
        <f t="array" ref="V26">SUMPRODUCT((Application!$B$714:$B$738 = 'CalHFA Addendum'!V$18)*(Application!$AC$714:$AC$738 = 'CalHFA Addendum'!$B26),Application!$G$714:$G$738)</f>
        <v>0</v>
      </c>
      <c r="W26" s="2405"/>
      <c r="X26" s="2405"/>
      <c r="Y26" s="2405"/>
      <c r="Z26" s="2405"/>
      <c r="AA26" s="2406"/>
      <c r="AB26" s="2404" cm="1">
        <f t="array" ref="AB26">SUMPRODUCT((Application!$B$714:$B$738 = 'CalHFA Addendum'!AB$18)*(Application!$AC$714:$AC$738 = 'CalHFA Addendum'!$B26),Application!$G$714:$G$738)</f>
        <v>0</v>
      </c>
      <c r="AC26" s="2405"/>
      <c r="AD26" s="2405"/>
      <c r="AE26" s="2405"/>
      <c r="AF26" s="2405"/>
      <c r="AG26" s="2406"/>
      <c r="AH26" s="2404" cm="1">
        <f t="array" ref="AH26">SUMPRODUCT((Application!$B$714:$B$738 = 'CalHFA Addendum'!AH$18)*(Application!$AC$714:$AC$738 = 'CalHFA Addendum'!$B26),Application!$G$714:$G$738)</f>
        <v>0</v>
      </c>
      <c r="AI26" s="2405"/>
      <c r="AJ26" s="2405"/>
      <c r="AK26" s="2405"/>
      <c r="AL26" s="2405"/>
      <c r="AM26" s="2406"/>
      <c r="AN26" s="2404" cm="1">
        <f t="array" ref="AN26">SUMPRODUCT((Application!$B$714:$B$738 = 'CalHFA Addendum'!AN$18)*(Application!$AC$714:$AC$738 = 'CalHFA Addendum'!$B26),Application!$G$714:$G$738)</f>
        <v>0</v>
      </c>
      <c r="AO26" s="2405"/>
      <c r="AP26" s="2405"/>
      <c r="AQ26" s="2405"/>
      <c r="AR26" s="2405"/>
      <c r="AS26" s="2406"/>
      <c r="AT26" s="2407">
        <f t="shared" si="0"/>
        <v>0</v>
      </c>
      <c r="AU26" s="2408"/>
      <c r="AV26" s="2408"/>
      <c r="AW26" s="2408"/>
      <c r="AX26" s="2408"/>
      <c r="AY26" s="2409"/>
      <c r="AZ26" s="1207"/>
      <c r="BA26" s="1207"/>
      <c r="BB26" s="1207"/>
      <c r="BC26" s="1207"/>
      <c r="BD26" s="1207"/>
      <c r="BE26" s="1213"/>
    </row>
    <row r="27" spans="1:58" ht="15">
      <c r="A27" s="1207"/>
      <c r="B27" s="2419">
        <v>1.1000000000000001</v>
      </c>
      <c r="C27" s="2420"/>
      <c r="D27" s="2420"/>
      <c r="E27" s="2420"/>
      <c r="F27" s="2420"/>
      <c r="G27" s="2420"/>
      <c r="H27" s="2420"/>
      <c r="I27" s="2421"/>
      <c r="J27" s="2404">
        <f t="shared" si="1"/>
        <v>0</v>
      </c>
      <c r="K27" s="2405"/>
      <c r="L27" s="2405"/>
      <c r="M27" s="2405"/>
      <c r="N27" s="2405"/>
      <c r="O27" s="2406"/>
      <c r="P27" s="2404" cm="1">
        <f t="array" ref="P27">SUMPRODUCT((Application!$B$714:$B$738 = 'CalHFA Addendum'!P$18)*(Application!$AC$714:$AC$738 = 'CalHFA Addendum'!$B27),Application!$G$714:$G$738)</f>
        <v>0</v>
      </c>
      <c r="Q27" s="2405"/>
      <c r="R27" s="2405"/>
      <c r="S27" s="2405"/>
      <c r="T27" s="2405"/>
      <c r="U27" s="2406"/>
      <c r="V27" s="2404" cm="1">
        <f t="array" ref="V27">SUMPRODUCT((Application!$B$714:$B$738 = 'CalHFA Addendum'!V$18)*(Application!$AC$714:$AC$738 = 'CalHFA Addendum'!$B27),Application!$G$714:$G$738)</f>
        <v>0</v>
      </c>
      <c r="W27" s="2405"/>
      <c r="X27" s="2405"/>
      <c r="Y27" s="2405"/>
      <c r="Z27" s="2405"/>
      <c r="AA27" s="2406"/>
      <c r="AB27" s="2404" cm="1">
        <f t="array" ref="AB27">SUMPRODUCT((Application!$B$714:$B$738 = 'CalHFA Addendum'!AB$18)*(Application!$AC$714:$AC$738 = 'CalHFA Addendum'!$B27),Application!$G$714:$G$738)</f>
        <v>0</v>
      </c>
      <c r="AC27" s="2405"/>
      <c r="AD27" s="2405"/>
      <c r="AE27" s="2405"/>
      <c r="AF27" s="2405"/>
      <c r="AG27" s="2406"/>
      <c r="AH27" s="2404" cm="1">
        <f t="array" ref="AH27">SUMPRODUCT((Application!$B$714:$B$738 = 'CalHFA Addendum'!AH$18)*(Application!$AC$714:$AC$738 = 'CalHFA Addendum'!$B27),Application!$G$714:$G$738)</f>
        <v>0</v>
      </c>
      <c r="AI27" s="2405"/>
      <c r="AJ27" s="2405"/>
      <c r="AK27" s="2405"/>
      <c r="AL27" s="2405"/>
      <c r="AM27" s="2406"/>
      <c r="AN27" s="2404" cm="1">
        <f t="array" ref="AN27">SUMPRODUCT((Application!$B$714:$B$738 = 'CalHFA Addendum'!AN$18)*(Application!$AC$714:$AC$738 = 'CalHFA Addendum'!$B27),Application!$G$714:$G$738)</f>
        <v>0</v>
      </c>
      <c r="AO27" s="2405"/>
      <c r="AP27" s="2405"/>
      <c r="AQ27" s="2405"/>
      <c r="AR27" s="2405"/>
      <c r="AS27" s="2406"/>
      <c r="AT27" s="2407">
        <f t="shared" si="0"/>
        <v>0</v>
      </c>
      <c r="AU27" s="2408"/>
      <c r="AV27" s="2408"/>
      <c r="AW27" s="2408"/>
      <c r="AX27" s="2408"/>
      <c r="AY27" s="2409"/>
      <c r="AZ27" s="1207"/>
      <c r="BA27" s="1207"/>
      <c r="BB27" s="1207"/>
      <c r="BC27" s="1207"/>
      <c r="BD27" s="1207"/>
      <c r="BE27" s="1213"/>
    </row>
    <row r="28" spans="1:58" thickBot="1">
      <c r="A28" s="1207"/>
      <c r="B28" s="2410" t="s">
        <v>1866</v>
      </c>
      <c r="C28" s="2411"/>
      <c r="D28" s="2411"/>
      <c r="E28" s="2411"/>
      <c r="F28" s="2411"/>
      <c r="G28" s="2411"/>
      <c r="H28" s="2411"/>
      <c r="I28" s="2412"/>
      <c r="J28" s="2413">
        <f t="shared" si="1"/>
        <v>1</v>
      </c>
      <c r="K28" s="2414"/>
      <c r="L28" s="2414"/>
      <c r="M28" s="2414"/>
      <c r="N28" s="2414"/>
      <c r="O28" s="2415"/>
      <c r="P28" s="2413">
        <f>_xlfn.IFNA(VLOOKUP(P$18,Application!$J$758:$S$761,6,FALSE), 0)</f>
        <v>0</v>
      </c>
      <c r="Q28" s="2414"/>
      <c r="R28" s="2414"/>
      <c r="S28" s="2414"/>
      <c r="T28" s="2414"/>
      <c r="U28" s="2415"/>
      <c r="V28" s="2413">
        <f>_xlfn.IFNA(VLOOKUP(V$18,Application!$J$758:$S$761,6,FALSE), 0)</f>
        <v>0</v>
      </c>
      <c r="W28" s="2414"/>
      <c r="X28" s="2414"/>
      <c r="Y28" s="2414"/>
      <c r="Z28" s="2414"/>
      <c r="AA28" s="2415"/>
      <c r="AB28" s="2413">
        <f>_xlfn.IFNA(VLOOKUP(AB$18,Application!$J$758:$S$761,6,FALSE), 0)</f>
        <v>1</v>
      </c>
      <c r="AC28" s="2414"/>
      <c r="AD28" s="2414"/>
      <c r="AE28" s="2414"/>
      <c r="AF28" s="2414"/>
      <c r="AG28" s="2415"/>
      <c r="AH28" s="2413">
        <f>_xlfn.IFNA(VLOOKUP(AH$18,Application!$J$758:$S$761,6,FALSE), 0)</f>
        <v>0</v>
      </c>
      <c r="AI28" s="2414"/>
      <c r="AJ28" s="2414"/>
      <c r="AK28" s="2414"/>
      <c r="AL28" s="2414"/>
      <c r="AM28" s="2415"/>
      <c r="AN28" s="2413">
        <f>_xlfn.IFNA(VLOOKUP(AN$18,Application!$J$758:$S$761,6,FALSE), 0)</f>
        <v>0</v>
      </c>
      <c r="AO28" s="2414"/>
      <c r="AP28" s="2414"/>
      <c r="AQ28" s="2414"/>
      <c r="AR28" s="2414"/>
      <c r="AS28" s="2415"/>
      <c r="AT28" s="2416">
        <f t="shared" si="0"/>
        <v>8.6206896551724137E-3</v>
      </c>
      <c r="AU28" s="2417"/>
      <c r="AV28" s="2417"/>
      <c r="AW28" s="2417"/>
      <c r="AX28" s="2417"/>
      <c r="AY28" s="2418"/>
      <c r="AZ28" s="1207"/>
      <c r="BA28" s="1207"/>
      <c r="BB28" s="1207"/>
      <c r="BC28" s="1207"/>
      <c r="BD28" s="1207"/>
      <c r="BE28" s="1213"/>
    </row>
    <row r="29" spans="1:58" thickBot="1">
      <c r="A29" s="1207"/>
      <c r="B29" s="2403" t="s">
        <v>1763</v>
      </c>
      <c r="C29" s="2392"/>
      <c r="D29" s="2392"/>
      <c r="E29" s="2392"/>
      <c r="F29" s="2392"/>
      <c r="G29" s="2392"/>
      <c r="H29" s="2392"/>
      <c r="I29" s="2393"/>
      <c r="J29" s="2391">
        <f>SUM(J19:O28)</f>
        <v>116</v>
      </c>
      <c r="K29" s="2392"/>
      <c r="L29" s="2392"/>
      <c r="M29" s="2392"/>
      <c r="N29" s="2392"/>
      <c r="O29" s="2393"/>
      <c r="P29" s="2391">
        <f>SUM(P19:U28)</f>
        <v>0</v>
      </c>
      <c r="Q29" s="2392"/>
      <c r="R29" s="2392"/>
      <c r="S29" s="2392"/>
      <c r="T29" s="2392"/>
      <c r="U29" s="2393"/>
      <c r="V29" s="2391">
        <f>SUM(V19:AA28)</f>
        <v>40</v>
      </c>
      <c r="W29" s="2392"/>
      <c r="X29" s="2392"/>
      <c r="Y29" s="2392"/>
      <c r="Z29" s="2392"/>
      <c r="AA29" s="2393"/>
      <c r="AB29" s="2391">
        <f>SUM(AB19:AG28)</f>
        <v>47</v>
      </c>
      <c r="AC29" s="2392"/>
      <c r="AD29" s="2392"/>
      <c r="AE29" s="2392"/>
      <c r="AF29" s="2392"/>
      <c r="AG29" s="2393"/>
      <c r="AH29" s="2391">
        <f>SUM(AH19:AM28)</f>
        <v>29</v>
      </c>
      <c r="AI29" s="2392"/>
      <c r="AJ29" s="2392"/>
      <c r="AK29" s="2392"/>
      <c r="AL29" s="2392"/>
      <c r="AM29" s="2393"/>
      <c r="AN29" s="2391">
        <f>SUM(AN19:AS28)</f>
        <v>0</v>
      </c>
      <c r="AO29" s="2392"/>
      <c r="AP29" s="2392"/>
      <c r="AQ29" s="2392"/>
      <c r="AR29" s="2392"/>
      <c r="AS29" s="2393"/>
      <c r="AT29" s="2394">
        <f>J29/$J$29</f>
        <v>1</v>
      </c>
      <c r="AU29" s="2395"/>
      <c r="AV29" s="2395"/>
      <c r="AW29" s="2395"/>
      <c r="AX29" s="2395"/>
      <c r="AY29" s="2396"/>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1" t="s">
        <v>1867</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8"/>
      <c r="BA31" s="1207"/>
      <c r="BB31" s="1207"/>
      <c r="BC31" s="1207"/>
      <c r="BD31" s="1207"/>
      <c r="BE31" s="1213"/>
    </row>
    <row r="32" spans="1:58" ht="15">
      <c r="A32" s="1207"/>
      <c r="B32" s="2397" t="s">
        <v>2581</v>
      </c>
      <c r="C32" s="2398"/>
      <c r="D32" s="2398"/>
      <c r="E32" s="2398"/>
      <c r="F32" s="2398"/>
      <c r="G32" s="2398"/>
      <c r="H32" s="2398"/>
      <c r="I32" s="2398"/>
      <c r="J32" s="2400" t="s">
        <v>2582</v>
      </c>
      <c r="K32" s="2401"/>
      <c r="L32" s="2401"/>
      <c r="M32" s="2401"/>
      <c r="N32" s="2400" t="s">
        <v>1868</v>
      </c>
      <c r="O32" s="2401"/>
      <c r="P32" s="2401"/>
      <c r="Q32" s="2401"/>
      <c r="R32" s="2272" t="s">
        <v>1869</v>
      </c>
      <c r="S32" s="2272"/>
      <c r="T32" s="2272"/>
      <c r="U32" s="2272"/>
      <c r="V32" s="2272"/>
      <c r="W32" s="2272"/>
      <c r="X32" s="2272"/>
      <c r="Y32" s="2272"/>
      <c r="Z32" s="2272"/>
      <c r="AA32" s="2272"/>
      <c r="AB32" s="2272"/>
      <c r="AC32" s="2272"/>
      <c r="AD32" s="2272"/>
      <c r="AE32" s="2272"/>
      <c r="AF32" s="2272"/>
      <c r="AG32" s="2272"/>
      <c r="AH32" s="2272"/>
      <c r="AI32" s="2272"/>
      <c r="AJ32" s="2272"/>
      <c r="AK32" s="2272"/>
      <c r="AL32" s="2272"/>
      <c r="AM32" s="2272"/>
      <c r="AN32" s="2272"/>
      <c r="AO32" s="2272"/>
      <c r="AP32" s="2272"/>
      <c r="AQ32" s="2272"/>
      <c r="AR32" s="2272"/>
      <c r="AS32" s="2272"/>
      <c r="AT32" s="2272"/>
      <c r="AU32" s="2272"/>
      <c r="AV32" s="2272"/>
      <c r="AW32" s="2272"/>
      <c r="AX32" s="2272"/>
      <c r="AY32" s="2272"/>
      <c r="AZ32" s="2322"/>
      <c r="BA32" s="1207"/>
      <c r="BB32" s="1207"/>
      <c r="BC32" s="1207"/>
      <c r="BD32" s="1207"/>
      <c r="BE32" s="1213"/>
    </row>
    <row r="33" spans="1:58" ht="15" customHeight="1">
      <c r="A33" s="1207"/>
      <c r="B33" s="2399"/>
      <c r="C33" s="2398"/>
      <c r="D33" s="2398"/>
      <c r="E33" s="2398"/>
      <c r="F33" s="2398"/>
      <c r="G33" s="2398"/>
      <c r="H33" s="2398"/>
      <c r="I33" s="2398"/>
      <c r="J33" s="2401"/>
      <c r="K33" s="2401"/>
      <c r="L33" s="2401"/>
      <c r="M33" s="2401"/>
      <c r="N33" s="2401"/>
      <c r="O33" s="2401"/>
      <c r="P33" s="2401"/>
      <c r="Q33" s="2401"/>
      <c r="R33" s="2373" t="s">
        <v>1870</v>
      </c>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400"/>
      <c r="AT33" s="2400"/>
      <c r="AU33" s="2400"/>
      <c r="AV33" s="2400"/>
      <c r="AW33" s="2400"/>
      <c r="AX33" s="2400"/>
      <c r="AY33" s="2400"/>
      <c r="AZ33" s="2402"/>
      <c r="BA33" s="1214"/>
      <c r="BB33" s="1207"/>
      <c r="BC33" s="1207"/>
      <c r="BD33" s="1207"/>
      <c r="BE33" s="1213"/>
    </row>
    <row r="34" spans="1:58" ht="15.75" customHeight="1">
      <c r="A34" s="1207"/>
      <c r="B34" s="2399"/>
      <c r="C34" s="2398"/>
      <c r="D34" s="2398"/>
      <c r="E34" s="2398"/>
      <c r="F34" s="2398"/>
      <c r="G34" s="2398"/>
      <c r="H34" s="2398"/>
      <c r="I34" s="2398"/>
      <c r="J34" s="2401"/>
      <c r="K34" s="2401"/>
      <c r="L34" s="2401"/>
      <c r="M34" s="2401"/>
      <c r="N34" s="2401"/>
      <c r="O34" s="2401"/>
      <c r="P34" s="2401"/>
      <c r="Q34" s="2401"/>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400"/>
      <c r="AT34" s="2400"/>
      <c r="AU34" s="2400"/>
      <c r="AV34" s="2400"/>
      <c r="AW34" s="2400"/>
      <c r="AX34" s="2400"/>
      <c r="AY34" s="2400"/>
      <c r="AZ34" s="2402"/>
      <c r="BA34" s="1214"/>
      <c r="BB34" s="1207"/>
      <c r="BC34" s="1207"/>
      <c r="BD34" s="1207"/>
      <c r="BE34" s="1213"/>
    </row>
    <row r="35" spans="1:58" ht="15.75" customHeight="1">
      <c r="A35" s="1207"/>
      <c r="B35" s="2399"/>
      <c r="C35" s="2398"/>
      <c r="D35" s="2398"/>
      <c r="E35" s="2398"/>
      <c r="F35" s="2398"/>
      <c r="G35" s="2398"/>
      <c r="H35" s="2398"/>
      <c r="I35" s="2398"/>
      <c r="J35" s="2401"/>
      <c r="K35" s="2401"/>
      <c r="L35" s="2401"/>
      <c r="M35" s="2401"/>
      <c r="N35" s="2401"/>
      <c r="O35" s="2401"/>
      <c r="P35" s="2401"/>
      <c r="Q35" s="2401"/>
      <c r="R35" s="2387">
        <v>0.3</v>
      </c>
      <c r="S35" s="2387"/>
      <c r="T35" s="2387"/>
      <c r="U35" s="2387"/>
      <c r="V35" s="2387">
        <v>0.4</v>
      </c>
      <c r="W35" s="2387"/>
      <c r="X35" s="2387"/>
      <c r="Y35" s="2387"/>
      <c r="Z35" s="2387">
        <v>0.5</v>
      </c>
      <c r="AA35" s="2387"/>
      <c r="AB35" s="2387"/>
      <c r="AC35" s="2387"/>
      <c r="AD35" s="2387">
        <v>0.6</v>
      </c>
      <c r="AE35" s="2387"/>
      <c r="AF35" s="2387"/>
      <c r="AG35" s="2387"/>
      <c r="AH35" s="2387">
        <v>0.8</v>
      </c>
      <c r="AI35" s="2387"/>
      <c r="AJ35" s="2387"/>
      <c r="AK35" s="2387"/>
      <c r="AL35" s="2388">
        <v>1</v>
      </c>
      <c r="AM35" s="2388"/>
      <c r="AN35" s="2388"/>
      <c r="AO35" s="2389" t="s">
        <v>1871</v>
      </c>
      <c r="AP35" s="2389"/>
      <c r="AQ35" s="2389"/>
      <c r="AR35" s="2389"/>
      <c r="AS35" s="2389"/>
      <c r="AT35" s="2389"/>
      <c r="AU35" s="2389" t="s">
        <v>1872</v>
      </c>
      <c r="AV35" s="2389"/>
      <c r="AW35" s="2389"/>
      <c r="AX35" s="2389"/>
      <c r="AY35" s="2389"/>
      <c r="AZ35" s="2390"/>
      <c r="BA35" s="1214"/>
      <c r="BB35" s="1207"/>
      <c r="BC35" s="1207"/>
      <c r="BD35" s="1207"/>
      <c r="BE35" s="1213"/>
      <c r="BF35" s="1205"/>
    </row>
    <row r="36" spans="1:58" ht="15.75" customHeight="1">
      <c r="A36" s="1207"/>
      <c r="B36" s="2326" t="s">
        <v>1873</v>
      </c>
      <c r="C36" s="2327"/>
      <c r="D36" s="2327"/>
      <c r="E36" s="2327"/>
      <c r="F36" s="2327"/>
      <c r="G36" s="2327"/>
      <c r="H36" s="2327"/>
      <c r="I36" s="2327"/>
      <c r="J36" s="2386" t="s">
        <v>1874</v>
      </c>
      <c r="K36" s="2386"/>
      <c r="L36" s="2386"/>
      <c r="M36" s="2386"/>
      <c r="N36" s="2386">
        <v>55</v>
      </c>
      <c r="O36" s="2386"/>
      <c r="P36" s="2386"/>
      <c r="Q36" s="2386"/>
      <c r="R36" s="2379">
        <v>0</v>
      </c>
      <c r="S36" s="2379"/>
      <c r="T36" s="2379"/>
      <c r="U36" s="2379"/>
      <c r="V36" s="2379">
        <v>0</v>
      </c>
      <c r="W36" s="2379"/>
      <c r="X36" s="2379"/>
      <c r="Y36" s="2379"/>
      <c r="Z36" s="2379">
        <v>10</v>
      </c>
      <c r="AA36" s="2379"/>
      <c r="AB36" s="2379"/>
      <c r="AC36" s="2379"/>
      <c r="AD36" s="2379">
        <v>30</v>
      </c>
      <c r="AE36" s="2379"/>
      <c r="AF36" s="2379"/>
      <c r="AG36" s="2379"/>
      <c r="AH36" s="2379">
        <v>0</v>
      </c>
      <c r="AI36" s="2379"/>
      <c r="AJ36" s="2379"/>
      <c r="AK36" s="2379"/>
      <c r="AL36" s="2379">
        <v>0</v>
      </c>
      <c r="AM36" s="2379"/>
      <c r="AN36" s="2379"/>
      <c r="AO36" s="2380">
        <f>SUM(R36:AN36)</f>
        <v>40</v>
      </c>
      <c r="AP36" s="2380"/>
      <c r="AQ36" s="2380"/>
      <c r="AR36" s="2380"/>
      <c r="AS36" s="2380"/>
      <c r="AT36" s="2380"/>
      <c r="AU36" s="2381">
        <f>AO36/$J$29</f>
        <v>0.34482758620689657</v>
      </c>
      <c r="AV36" s="2381"/>
      <c r="AW36" s="2381"/>
      <c r="AX36" s="2381"/>
      <c r="AY36" s="2381"/>
      <c r="AZ36" s="2382"/>
      <c r="BA36" s="1207"/>
      <c r="BB36" s="1207"/>
      <c r="BC36" s="1207"/>
      <c r="BD36" s="1207"/>
      <c r="BE36" s="1213"/>
      <c r="BF36" s="1205"/>
    </row>
    <row r="37" spans="1:58" ht="15.75" customHeight="1">
      <c r="A37" s="1207"/>
      <c r="B37" s="2326" t="s">
        <v>2583</v>
      </c>
      <c r="C37" s="2327"/>
      <c r="D37" s="2327"/>
      <c r="E37" s="2327"/>
      <c r="F37" s="2327"/>
      <c r="G37" s="2327"/>
      <c r="H37" s="2327"/>
      <c r="I37" s="2327"/>
      <c r="J37" s="2386" t="s">
        <v>1875</v>
      </c>
      <c r="K37" s="2386"/>
      <c r="L37" s="2386"/>
      <c r="M37" s="2386"/>
      <c r="N37" s="2386">
        <v>55</v>
      </c>
      <c r="O37" s="2386"/>
      <c r="P37" s="2386"/>
      <c r="Q37" s="2386"/>
      <c r="R37" s="2379">
        <v>10</v>
      </c>
      <c r="S37" s="2379"/>
      <c r="T37" s="2379"/>
      <c r="U37" s="2379"/>
      <c r="V37" s="2379"/>
      <c r="W37" s="2379"/>
      <c r="X37" s="2379"/>
      <c r="Y37" s="2379"/>
      <c r="Z37" s="2379"/>
      <c r="AA37" s="2379"/>
      <c r="AB37" s="2379"/>
      <c r="AC37" s="2379"/>
      <c r="AD37" s="2379"/>
      <c r="AE37" s="2379"/>
      <c r="AF37" s="2379"/>
      <c r="AG37" s="2379"/>
      <c r="AH37" s="2379"/>
      <c r="AI37" s="2379"/>
      <c r="AJ37" s="2379"/>
      <c r="AK37" s="2379"/>
      <c r="AL37" s="2379"/>
      <c r="AM37" s="2379"/>
      <c r="AN37" s="2379"/>
      <c r="AO37" s="2380">
        <f t="shared" ref="AO37:AO47" si="2">SUM(R37:AN37)</f>
        <v>10</v>
      </c>
      <c r="AP37" s="2380"/>
      <c r="AQ37" s="2380"/>
      <c r="AR37" s="2380"/>
      <c r="AS37" s="2380"/>
      <c r="AT37" s="2380"/>
      <c r="AU37" s="2381">
        <f t="shared" ref="AU37:AU47" si="3">AO37/$J$29</f>
        <v>8.6206896551724144E-2</v>
      </c>
      <c r="AV37" s="2381"/>
      <c r="AW37" s="2381"/>
      <c r="AX37" s="2381"/>
      <c r="AY37" s="2381"/>
      <c r="AZ37" s="2382"/>
      <c r="BA37" s="1207"/>
      <c r="BB37" s="1207"/>
      <c r="BC37" s="1207"/>
      <c r="BD37" s="1207"/>
      <c r="BE37" s="1213"/>
      <c r="BF37" s="1205"/>
    </row>
    <row r="38" spans="1:58" ht="15.75" customHeight="1">
      <c r="A38" s="1207"/>
      <c r="B38" s="2326" t="s">
        <v>2521</v>
      </c>
      <c r="C38" s="2327"/>
      <c r="D38" s="2327"/>
      <c r="E38" s="2327"/>
      <c r="F38" s="2327"/>
      <c r="G38" s="2327"/>
      <c r="H38" s="2327"/>
      <c r="I38" s="2327"/>
      <c r="J38" s="2386" t="s">
        <v>1876</v>
      </c>
      <c r="K38" s="2386"/>
      <c r="L38" s="2386"/>
      <c r="M38" s="2386"/>
      <c r="N38" s="2386">
        <v>55</v>
      </c>
      <c r="O38" s="2386"/>
      <c r="P38" s="2386"/>
      <c r="Q38" s="2386"/>
      <c r="R38" s="2379"/>
      <c r="S38" s="2379"/>
      <c r="T38" s="2379"/>
      <c r="U38" s="2379"/>
      <c r="V38" s="2379"/>
      <c r="W38" s="2379"/>
      <c r="X38" s="2379"/>
      <c r="Y38" s="2379"/>
      <c r="Z38" s="2379"/>
      <c r="AA38" s="2379"/>
      <c r="AB38" s="2379"/>
      <c r="AC38" s="2379"/>
      <c r="AD38" s="2379"/>
      <c r="AE38" s="2379"/>
      <c r="AF38" s="2379"/>
      <c r="AG38" s="2379"/>
      <c r="AH38" s="2379"/>
      <c r="AI38" s="2379"/>
      <c r="AJ38" s="2379"/>
      <c r="AK38" s="2379"/>
      <c r="AL38" s="2379"/>
      <c r="AM38" s="2379"/>
      <c r="AN38" s="2379"/>
      <c r="AO38" s="2380">
        <f t="shared" si="2"/>
        <v>0</v>
      </c>
      <c r="AP38" s="2380"/>
      <c r="AQ38" s="2380"/>
      <c r="AR38" s="2380"/>
      <c r="AS38" s="2380"/>
      <c r="AT38" s="2380"/>
      <c r="AU38" s="2381">
        <f t="shared" si="3"/>
        <v>0</v>
      </c>
      <c r="AV38" s="2381"/>
      <c r="AW38" s="2381"/>
      <c r="AX38" s="2381"/>
      <c r="AY38" s="2381"/>
      <c r="AZ38" s="2382"/>
      <c r="BA38" s="1207"/>
      <c r="BB38" s="1207"/>
      <c r="BC38" s="1207"/>
      <c r="BD38" s="1207"/>
      <c r="BE38" s="1213"/>
      <c r="BF38" s="1205"/>
    </row>
    <row r="39" spans="1:58" ht="15.75" customHeight="1">
      <c r="A39" s="1207"/>
      <c r="B39" s="2326" t="s">
        <v>1877</v>
      </c>
      <c r="C39" s="2327"/>
      <c r="D39" s="2327"/>
      <c r="E39" s="2327"/>
      <c r="F39" s="2327"/>
      <c r="G39" s="2327"/>
      <c r="H39" s="2327"/>
      <c r="I39" s="2327"/>
      <c r="J39" s="2386"/>
      <c r="K39" s="2386"/>
      <c r="L39" s="2386"/>
      <c r="M39" s="2386"/>
      <c r="N39" s="2386"/>
      <c r="O39" s="2386"/>
      <c r="P39" s="2386"/>
      <c r="Q39" s="2386"/>
      <c r="R39" s="2379"/>
      <c r="S39" s="2379"/>
      <c r="T39" s="2379"/>
      <c r="U39" s="2379"/>
      <c r="V39" s="2379"/>
      <c r="W39" s="2379"/>
      <c r="X39" s="2379"/>
      <c r="Y39" s="2379"/>
      <c r="Z39" s="2379"/>
      <c r="AA39" s="2379"/>
      <c r="AB39" s="2379"/>
      <c r="AC39" s="2379"/>
      <c r="AD39" s="2379"/>
      <c r="AE39" s="2379"/>
      <c r="AF39" s="2379"/>
      <c r="AG39" s="2379"/>
      <c r="AH39" s="2379"/>
      <c r="AI39" s="2379"/>
      <c r="AJ39" s="2379"/>
      <c r="AK39" s="2379"/>
      <c r="AL39" s="2379"/>
      <c r="AM39" s="2379"/>
      <c r="AN39" s="2379"/>
      <c r="AO39" s="2380">
        <f t="shared" si="2"/>
        <v>0</v>
      </c>
      <c r="AP39" s="2380"/>
      <c r="AQ39" s="2380"/>
      <c r="AR39" s="2380"/>
      <c r="AS39" s="2380"/>
      <c r="AT39" s="2380"/>
      <c r="AU39" s="2381">
        <f t="shared" si="3"/>
        <v>0</v>
      </c>
      <c r="AV39" s="2381"/>
      <c r="AW39" s="2381"/>
      <c r="AX39" s="2381"/>
      <c r="AY39" s="2381"/>
      <c r="AZ39" s="2382"/>
      <c r="BA39" s="1207"/>
      <c r="BB39" s="1207"/>
      <c r="BC39" s="1207"/>
      <c r="BD39" s="1207"/>
      <c r="BE39" s="1213"/>
    </row>
    <row r="40" spans="1:58" ht="15.75" customHeight="1">
      <c r="A40" s="1207"/>
      <c r="B40" s="2326" t="s">
        <v>1877</v>
      </c>
      <c r="C40" s="2327"/>
      <c r="D40" s="2327"/>
      <c r="E40" s="2327"/>
      <c r="F40" s="2327"/>
      <c r="G40" s="2327"/>
      <c r="H40" s="2327"/>
      <c r="I40" s="2327"/>
      <c r="J40" s="2386"/>
      <c r="K40" s="2386"/>
      <c r="L40" s="2386"/>
      <c r="M40" s="2386"/>
      <c r="N40" s="2386"/>
      <c r="O40" s="2386"/>
      <c r="P40" s="2386"/>
      <c r="Q40" s="2386"/>
      <c r="R40" s="2379"/>
      <c r="S40" s="2379"/>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80">
        <f t="shared" si="2"/>
        <v>0</v>
      </c>
      <c r="AP40" s="2380"/>
      <c r="AQ40" s="2380"/>
      <c r="AR40" s="2380"/>
      <c r="AS40" s="2380"/>
      <c r="AT40" s="2380"/>
      <c r="AU40" s="2381">
        <f t="shared" si="3"/>
        <v>0</v>
      </c>
      <c r="AV40" s="2381"/>
      <c r="AW40" s="2381"/>
      <c r="AX40" s="2381"/>
      <c r="AY40" s="2381"/>
      <c r="AZ40" s="2382"/>
      <c r="BA40" s="1207"/>
      <c r="BB40" s="1207"/>
      <c r="BC40" s="1207"/>
      <c r="BD40" s="1207"/>
      <c r="BE40" s="1213"/>
    </row>
    <row r="41" spans="1:58" ht="15.75" customHeight="1">
      <c r="A41" s="1207"/>
      <c r="B41" s="2326" t="s">
        <v>1878</v>
      </c>
      <c r="C41" s="2327"/>
      <c r="D41" s="2327"/>
      <c r="E41" s="2327"/>
      <c r="F41" s="2327"/>
      <c r="G41" s="2327"/>
      <c r="H41" s="2327"/>
      <c r="I41" s="2327"/>
      <c r="J41" s="2386"/>
      <c r="K41" s="2386"/>
      <c r="L41" s="2386"/>
      <c r="M41" s="2386"/>
      <c r="N41" s="2386"/>
      <c r="O41" s="2386"/>
      <c r="P41" s="2386"/>
      <c r="Q41" s="2386"/>
      <c r="R41" s="2379"/>
      <c r="S41" s="2379"/>
      <c r="T41" s="2379"/>
      <c r="U41" s="2379"/>
      <c r="V41" s="2379"/>
      <c r="W41" s="2379"/>
      <c r="X41" s="2379"/>
      <c r="Y41" s="2379"/>
      <c r="Z41" s="2379"/>
      <c r="AA41" s="2379"/>
      <c r="AB41" s="2379"/>
      <c r="AC41" s="2379"/>
      <c r="AD41" s="2379"/>
      <c r="AE41" s="2379"/>
      <c r="AF41" s="2379"/>
      <c r="AG41" s="2379"/>
      <c r="AH41" s="2379"/>
      <c r="AI41" s="2379"/>
      <c r="AJ41" s="2379"/>
      <c r="AK41" s="2379"/>
      <c r="AL41" s="2379"/>
      <c r="AM41" s="2379"/>
      <c r="AN41" s="2379"/>
      <c r="AO41" s="2380">
        <f t="shared" si="2"/>
        <v>0</v>
      </c>
      <c r="AP41" s="2380"/>
      <c r="AQ41" s="2380"/>
      <c r="AR41" s="2380"/>
      <c r="AS41" s="2380"/>
      <c r="AT41" s="2380"/>
      <c r="AU41" s="2381">
        <f t="shared" si="3"/>
        <v>0</v>
      </c>
      <c r="AV41" s="2381"/>
      <c r="AW41" s="2381"/>
      <c r="AX41" s="2381"/>
      <c r="AY41" s="2381"/>
      <c r="AZ41" s="2382"/>
      <c r="BA41" s="1207"/>
      <c r="BB41" s="1207"/>
      <c r="BC41" s="1207"/>
      <c r="BD41" s="1207"/>
      <c r="BE41" s="1213"/>
    </row>
    <row r="42" spans="1:58" ht="15.75" customHeight="1">
      <c r="A42" s="1207"/>
      <c r="B42" s="2326" t="s">
        <v>1878</v>
      </c>
      <c r="C42" s="2327"/>
      <c r="D42" s="2327"/>
      <c r="E42" s="2327"/>
      <c r="F42" s="2327"/>
      <c r="G42" s="2327"/>
      <c r="H42" s="2327"/>
      <c r="I42" s="2327"/>
      <c r="J42" s="2386"/>
      <c r="K42" s="2386"/>
      <c r="L42" s="2386"/>
      <c r="M42" s="2386"/>
      <c r="N42" s="2386"/>
      <c r="O42" s="2386"/>
      <c r="P42" s="2386"/>
      <c r="Q42" s="2386"/>
      <c r="R42" s="2379"/>
      <c r="S42" s="2379"/>
      <c r="T42" s="2379"/>
      <c r="U42" s="2379"/>
      <c r="V42" s="2379"/>
      <c r="W42" s="2379"/>
      <c r="X42" s="2379"/>
      <c r="Y42" s="2379"/>
      <c r="Z42" s="2379"/>
      <c r="AA42" s="2379"/>
      <c r="AB42" s="2379"/>
      <c r="AC42" s="2379"/>
      <c r="AD42" s="2379"/>
      <c r="AE42" s="2379"/>
      <c r="AF42" s="2379"/>
      <c r="AG42" s="2379"/>
      <c r="AH42" s="2379"/>
      <c r="AI42" s="2379"/>
      <c r="AJ42" s="2379"/>
      <c r="AK42" s="2379"/>
      <c r="AL42" s="2379"/>
      <c r="AM42" s="2379"/>
      <c r="AN42" s="2379"/>
      <c r="AO42" s="2380">
        <f t="shared" si="2"/>
        <v>0</v>
      </c>
      <c r="AP42" s="2380"/>
      <c r="AQ42" s="2380"/>
      <c r="AR42" s="2380"/>
      <c r="AS42" s="2380"/>
      <c r="AT42" s="2380"/>
      <c r="AU42" s="2381">
        <f t="shared" si="3"/>
        <v>0</v>
      </c>
      <c r="AV42" s="2381"/>
      <c r="AW42" s="2381"/>
      <c r="AX42" s="2381"/>
      <c r="AY42" s="2381"/>
      <c r="AZ42" s="2382"/>
      <c r="BA42" s="1207"/>
      <c r="BB42" s="1207"/>
      <c r="BC42" s="1207"/>
      <c r="BD42" s="1207"/>
      <c r="BE42" s="1213"/>
    </row>
    <row r="43" spans="1:58" ht="15.75" customHeight="1">
      <c r="A43" s="1207"/>
      <c r="B43" s="2331" t="s">
        <v>1879</v>
      </c>
      <c r="C43" s="2332"/>
      <c r="D43" s="2332"/>
      <c r="E43" s="2332"/>
      <c r="F43" s="2332"/>
      <c r="G43" s="2332"/>
      <c r="H43" s="2332"/>
      <c r="I43" s="2332"/>
      <c r="J43" s="2386"/>
      <c r="K43" s="2386"/>
      <c r="L43" s="2386"/>
      <c r="M43" s="2386"/>
      <c r="N43" s="2386"/>
      <c r="O43" s="2386"/>
      <c r="P43" s="2386"/>
      <c r="Q43" s="2386"/>
      <c r="R43" s="2379"/>
      <c r="S43" s="2379"/>
      <c r="T43" s="2379"/>
      <c r="U43" s="2379"/>
      <c r="V43" s="2379"/>
      <c r="W43" s="2379"/>
      <c r="X43" s="2379"/>
      <c r="Y43" s="2379"/>
      <c r="Z43" s="2379"/>
      <c r="AA43" s="2379"/>
      <c r="AB43" s="2379"/>
      <c r="AC43" s="2379"/>
      <c r="AD43" s="2379"/>
      <c r="AE43" s="2379"/>
      <c r="AF43" s="2379"/>
      <c r="AG43" s="2379"/>
      <c r="AH43" s="2379"/>
      <c r="AI43" s="2379"/>
      <c r="AJ43" s="2379"/>
      <c r="AK43" s="2379"/>
      <c r="AL43" s="2379"/>
      <c r="AM43" s="2379"/>
      <c r="AN43" s="2379"/>
      <c r="AO43" s="2380">
        <f t="shared" si="2"/>
        <v>0</v>
      </c>
      <c r="AP43" s="2380"/>
      <c r="AQ43" s="2380"/>
      <c r="AR43" s="2380"/>
      <c r="AS43" s="2380"/>
      <c r="AT43" s="2380"/>
      <c r="AU43" s="2381">
        <f t="shared" si="3"/>
        <v>0</v>
      </c>
      <c r="AV43" s="2381"/>
      <c r="AW43" s="2381"/>
      <c r="AX43" s="2381"/>
      <c r="AY43" s="2381"/>
      <c r="AZ43" s="2382"/>
      <c r="BA43" s="1207"/>
      <c r="BB43" s="1207"/>
      <c r="BC43" s="1207"/>
      <c r="BD43" s="1207"/>
      <c r="BE43" s="1213"/>
    </row>
    <row r="44" spans="1:58" ht="15.75" customHeight="1">
      <c r="A44" s="1207"/>
      <c r="B44" s="2331" t="s">
        <v>1880</v>
      </c>
      <c r="C44" s="2332"/>
      <c r="D44" s="2332"/>
      <c r="E44" s="2332"/>
      <c r="F44" s="2332"/>
      <c r="G44" s="2332"/>
      <c r="H44" s="2332"/>
      <c r="I44" s="2332"/>
      <c r="J44" s="2386"/>
      <c r="K44" s="2386"/>
      <c r="L44" s="2386"/>
      <c r="M44" s="2386"/>
      <c r="N44" s="2386"/>
      <c r="O44" s="2386"/>
      <c r="P44" s="2386"/>
      <c r="Q44" s="2386"/>
      <c r="R44" s="2379"/>
      <c r="S44" s="2379"/>
      <c r="T44" s="2379"/>
      <c r="U44" s="2379"/>
      <c r="V44" s="2379"/>
      <c r="W44" s="2379"/>
      <c r="X44" s="2379"/>
      <c r="Y44" s="2379"/>
      <c r="Z44" s="2379"/>
      <c r="AA44" s="2379"/>
      <c r="AB44" s="2379"/>
      <c r="AC44" s="2379"/>
      <c r="AD44" s="2379"/>
      <c r="AE44" s="2379"/>
      <c r="AF44" s="2379"/>
      <c r="AG44" s="2379"/>
      <c r="AH44" s="2379"/>
      <c r="AI44" s="2379"/>
      <c r="AJ44" s="2379"/>
      <c r="AK44" s="2379"/>
      <c r="AL44" s="2379"/>
      <c r="AM44" s="2379"/>
      <c r="AN44" s="2379"/>
      <c r="AO44" s="2380">
        <f t="shared" si="2"/>
        <v>0</v>
      </c>
      <c r="AP44" s="2380"/>
      <c r="AQ44" s="2380"/>
      <c r="AR44" s="2380"/>
      <c r="AS44" s="2380"/>
      <c r="AT44" s="2380"/>
      <c r="AU44" s="2381">
        <f t="shared" si="3"/>
        <v>0</v>
      </c>
      <c r="AV44" s="2381"/>
      <c r="AW44" s="2381"/>
      <c r="AX44" s="2381"/>
      <c r="AY44" s="2381"/>
      <c r="AZ44" s="2382"/>
      <c r="BA44" s="1207"/>
      <c r="BB44" s="1207"/>
      <c r="BC44" s="1207"/>
      <c r="BD44" s="1207"/>
      <c r="BE44" s="1213"/>
    </row>
    <row r="45" spans="1:58" ht="15.75" customHeight="1">
      <c r="A45" s="1207"/>
      <c r="B45" s="2331" t="s">
        <v>1881</v>
      </c>
      <c r="C45" s="2332"/>
      <c r="D45" s="2332"/>
      <c r="E45" s="2332"/>
      <c r="F45" s="2332"/>
      <c r="G45" s="2332"/>
      <c r="H45" s="2332"/>
      <c r="I45" s="2332"/>
      <c r="J45" s="2386"/>
      <c r="K45" s="2386"/>
      <c r="L45" s="2386"/>
      <c r="M45" s="2386"/>
      <c r="N45" s="2386"/>
      <c r="O45" s="2386"/>
      <c r="P45" s="2386"/>
      <c r="Q45" s="2386"/>
      <c r="R45" s="2379"/>
      <c r="S45" s="2379"/>
      <c r="T45" s="2379"/>
      <c r="U45" s="2379"/>
      <c r="V45" s="2379"/>
      <c r="W45" s="2379"/>
      <c r="X45" s="2379"/>
      <c r="Y45" s="2379"/>
      <c r="Z45" s="2379"/>
      <c r="AA45" s="2379"/>
      <c r="AB45" s="2379"/>
      <c r="AC45" s="2379"/>
      <c r="AD45" s="2379"/>
      <c r="AE45" s="2379"/>
      <c r="AF45" s="2379"/>
      <c r="AG45" s="2379"/>
      <c r="AH45" s="2379"/>
      <c r="AI45" s="2379"/>
      <c r="AJ45" s="2379"/>
      <c r="AK45" s="2379"/>
      <c r="AL45" s="2379"/>
      <c r="AM45" s="2379"/>
      <c r="AN45" s="2379"/>
      <c r="AO45" s="2380">
        <f t="shared" si="2"/>
        <v>0</v>
      </c>
      <c r="AP45" s="2380"/>
      <c r="AQ45" s="2380"/>
      <c r="AR45" s="2380"/>
      <c r="AS45" s="2380"/>
      <c r="AT45" s="2380"/>
      <c r="AU45" s="2381">
        <f t="shared" si="3"/>
        <v>0</v>
      </c>
      <c r="AV45" s="2381"/>
      <c r="AW45" s="2381"/>
      <c r="AX45" s="2381"/>
      <c r="AY45" s="2381"/>
      <c r="AZ45" s="2382"/>
      <c r="BA45" s="1207"/>
      <c r="BB45" s="1207"/>
      <c r="BC45" s="1207"/>
      <c r="BD45" s="1207"/>
      <c r="BE45" s="1213"/>
    </row>
    <row r="46" spans="1:58" ht="15.75" customHeight="1">
      <c r="A46" s="1207"/>
      <c r="B46" s="2331" t="s">
        <v>1882</v>
      </c>
      <c r="C46" s="2332"/>
      <c r="D46" s="2332"/>
      <c r="E46" s="2332"/>
      <c r="F46" s="2332"/>
      <c r="G46" s="2332"/>
      <c r="H46" s="2332"/>
      <c r="I46" s="2332"/>
      <c r="J46" s="2386"/>
      <c r="K46" s="2386"/>
      <c r="L46" s="2386"/>
      <c r="M46" s="2386"/>
      <c r="N46" s="2386">
        <v>99</v>
      </c>
      <c r="O46" s="2386"/>
      <c r="P46" s="2386"/>
      <c r="Q46" s="2386"/>
      <c r="R46" s="2379"/>
      <c r="S46" s="2379"/>
      <c r="T46" s="2379"/>
      <c r="U46" s="2379"/>
      <c r="V46" s="2379"/>
      <c r="W46" s="2379"/>
      <c r="X46" s="2379"/>
      <c r="Y46" s="2379"/>
      <c r="Z46" s="2379"/>
      <c r="AA46" s="2379"/>
      <c r="AB46" s="2379"/>
      <c r="AC46" s="2379"/>
      <c r="AD46" s="2379"/>
      <c r="AE46" s="2379"/>
      <c r="AF46" s="2379"/>
      <c r="AG46" s="2379"/>
      <c r="AH46" s="2379"/>
      <c r="AI46" s="2379"/>
      <c r="AJ46" s="2379"/>
      <c r="AK46" s="2379"/>
      <c r="AL46" s="2379"/>
      <c r="AM46" s="2379"/>
      <c r="AN46" s="2379"/>
      <c r="AO46" s="2380">
        <f t="shared" si="2"/>
        <v>0</v>
      </c>
      <c r="AP46" s="2380"/>
      <c r="AQ46" s="2380"/>
      <c r="AR46" s="2380"/>
      <c r="AS46" s="2380"/>
      <c r="AT46" s="2380"/>
      <c r="AU46" s="2381">
        <f t="shared" si="3"/>
        <v>0</v>
      </c>
      <c r="AV46" s="2381"/>
      <c r="AW46" s="2381"/>
      <c r="AX46" s="2381"/>
      <c r="AY46" s="2381"/>
      <c r="AZ46" s="2382"/>
      <c r="BA46" s="1207"/>
      <c r="BB46" s="1207"/>
      <c r="BC46" s="1207"/>
      <c r="BD46" s="1207"/>
      <c r="BE46" s="1213"/>
    </row>
    <row r="47" spans="1:58" ht="15.75" customHeight="1" thickBot="1">
      <c r="A47" s="1207"/>
      <c r="B47" s="2383" t="s">
        <v>301</v>
      </c>
      <c r="C47" s="2384"/>
      <c r="D47" s="2384"/>
      <c r="E47" s="2384"/>
      <c r="F47" s="2384"/>
      <c r="G47" s="2384"/>
      <c r="H47" s="2384"/>
      <c r="I47" s="2384"/>
      <c r="J47" s="2385"/>
      <c r="K47" s="2385"/>
      <c r="L47" s="2385"/>
      <c r="M47" s="2385"/>
      <c r="N47" s="2385"/>
      <c r="O47" s="2385"/>
      <c r="P47" s="2385"/>
      <c r="Q47" s="238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O47" s="2376">
        <f t="shared" si="2"/>
        <v>0</v>
      </c>
      <c r="AP47" s="2376"/>
      <c r="AQ47" s="2376"/>
      <c r="AR47" s="2376"/>
      <c r="AS47" s="2376"/>
      <c r="AT47" s="2376"/>
      <c r="AU47" s="2377">
        <f t="shared" si="3"/>
        <v>0</v>
      </c>
      <c r="AV47" s="2377"/>
      <c r="AW47" s="2377"/>
      <c r="AX47" s="2377"/>
      <c r="AY47" s="2377"/>
      <c r="AZ47" s="2378"/>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1" t="s">
        <v>1883</v>
      </c>
      <c r="C50" s="2237"/>
      <c r="D50" s="2237"/>
      <c r="E50" s="2237"/>
      <c r="F50" s="2237"/>
      <c r="G50" s="2237"/>
      <c r="H50" s="2237"/>
      <c r="I50" s="2237"/>
      <c r="J50" s="2237"/>
      <c r="K50" s="2237"/>
      <c r="L50" s="2237"/>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6" t="s">
        <v>1884</v>
      </c>
      <c r="C51" s="2305"/>
      <c r="D51" s="2305"/>
      <c r="E51" s="2305"/>
      <c r="F51" s="2305"/>
      <c r="G51" s="2305"/>
      <c r="H51" s="2305"/>
      <c r="I51" s="2305"/>
      <c r="J51" s="2305" t="s">
        <v>2585</v>
      </c>
      <c r="K51" s="2305"/>
      <c r="L51" s="2305"/>
      <c r="M51" s="2305"/>
      <c r="N51" s="2305"/>
      <c r="O51" s="2305"/>
      <c r="P51" s="2305"/>
      <c r="Q51" s="2305"/>
      <c r="R51" s="2373" t="s">
        <v>2586</v>
      </c>
      <c r="S51" s="2373"/>
      <c r="T51" s="2373"/>
      <c r="U51" s="2373"/>
      <c r="V51" s="2373"/>
      <c r="W51" s="2373"/>
      <c r="X51" s="2373"/>
      <c r="Y51" s="2373"/>
      <c r="Z51" s="2373" t="s">
        <v>1885</v>
      </c>
      <c r="AA51" s="2373"/>
      <c r="AB51" s="2373"/>
      <c r="AC51" s="2373"/>
      <c r="AD51" s="2373"/>
      <c r="AE51" s="2373"/>
      <c r="AF51" s="2373"/>
      <c r="AG51" s="2373"/>
      <c r="AH51" s="2373" t="s">
        <v>1886</v>
      </c>
      <c r="AI51" s="2373"/>
      <c r="AJ51" s="2373"/>
      <c r="AK51" s="2373"/>
      <c r="AL51" s="2373"/>
      <c r="AM51" s="2373"/>
      <c r="AN51" s="2373"/>
      <c r="AO51" s="237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1" t="s">
        <v>2259</v>
      </c>
      <c r="C52" s="2332"/>
      <c r="D52" s="2332"/>
      <c r="E52" s="2332"/>
      <c r="F52" s="2332"/>
      <c r="G52" s="2332"/>
      <c r="H52" s="2332"/>
      <c r="I52" s="2332"/>
      <c r="J52" s="2196">
        <v>0</v>
      </c>
      <c r="K52" s="2196"/>
      <c r="L52" s="2196"/>
      <c r="M52" s="2196"/>
      <c r="N52" s="2196"/>
      <c r="O52" s="2196"/>
      <c r="P52" s="2196"/>
      <c r="Q52" s="2196"/>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1" t="s">
        <v>2260</v>
      </c>
      <c r="C53" s="2332"/>
      <c r="D53" s="2332"/>
      <c r="E53" s="2332"/>
      <c r="F53" s="2332"/>
      <c r="G53" s="2332"/>
      <c r="H53" s="2332"/>
      <c r="I53" s="2332"/>
      <c r="J53" s="2196">
        <v>0</v>
      </c>
      <c r="K53" s="2196"/>
      <c r="L53" s="2196"/>
      <c r="M53" s="2196"/>
      <c r="N53" s="2196"/>
      <c r="O53" s="2196"/>
      <c r="P53" s="2196"/>
      <c r="Q53" s="2196"/>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1"/>
      <c r="C54" s="2332"/>
      <c r="D54" s="2332"/>
      <c r="E54" s="2332"/>
      <c r="F54" s="2332"/>
      <c r="G54" s="2332"/>
      <c r="H54" s="2332"/>
      <c r="I54" s="2332"/>
      <c r="J54" s="2196"/>
      <c r="K54" s="2196"/>
      <c r="L54" s="2196"/>
      <c r="M54" s="2196"/>
      <c r="N54" s="2196"/>
      <c r="O54" s="2196"/>
      <c r="P54" s="2196"/>
      <c r="Q54" s="2196"/>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1"/>
      <c r="C55" s="2332"/>
      <c r="D55" s="2332"/>
      <c r="E55" s="2332"/>
      <c r="F55" s="2332"/>
      <c r="G55" s="2332"/>
      <c r="H55" s="2332"/>
      <c r="I55" s="2332"/>
      <c r="J55" s="2196"/>
      <c r="K55" s="2196"/>
      <c r="L55" s="2196"/>
      <c r="M55" s="2196"/>
      <c r="N55" s="2196"/>
      <c r="O55" s="2196"/>
      <c r="P55" s="2196"/>
      <c r="Q55" s="2196"/>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31"/>
      <c r="C56" s="2332"/>
      <c r="D56" s="2332"/>
      <c r="E56" s="2332"/>
      <c r="F56" s="2332"/>
      <c r="G56" s="2332"/>
      <c r="H56" s="2332"/>
      <c r="I56" s="2332"/>
      <c r="J56" s="2196"/>
      <c r="K56" s="2196"/>
      <c r="L56" s="2196"/>
      <c r="M56" s="2196"/>
      <c r="N56" s="2196"/>
      <c r="O56" s="2196"/>
      <c r="P56" s="2196"/>
      <c r="Q56" s="2196"/>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4" t="s">
        <v>1763</v>
      </c>
      <c r="C57" s="2315"/>
      <c r="D57" s="2315"/>
      <c r="E57" s="2315"/>
      <c r="F57" s="2315"/>
      <c r="G57" s="2315"/>
      <c r="H57" s="2315"/>
      <c r="I57" s="2315"/>
      <c r="J57" s="2315"/>
      <c r="K57" s="2315"/>
      <c r="L57" s="2315"/>
      <c r="M57" s="2315"/>
      <c r="N57" s="2315"/>
      <c r="O57" s="2315"/>
      <c r="P57" s="2315"/>
      <c r="Q57" s="2315"/>
      <c r="R57" s="2369">
        <f>SUM(R52:Y56)</f>
        <v>0</v>
      </c>
      <c r="S57" s="2369"/>
      <c r="T57" s="2369"/>
      <c r="U57" s="2369"/>
      <c r="V57" s="2369"/>
      <c r="W57" s="2369"/>
      <c r="X57" s="2369"/>
      <c r="Y57" s="2369"/>
      <c r="Z57" s="2370">
        <f>SUM(Z52:AG56)</f>
        <v>0</v>
      </c>
      <c r="AA57" s="2370"/>
      <c r="AB57" s="2370"/>
      <c r="AC57" s="2370"/>
      <c r="AD57" s="2370"/>
      <c r="AE57" s="2370"/>
      <c r="AF57" s="2370"/>
      <c r="AG57" s="2370"/>
      <c r="AH57" s="2371"/>
      <c r="AI57" s="2371"/>
      <c r="AJ57" s="2371"/>
      <c r="AK57" s="2371"/>
      <c r="AL57" s="2371"/>
      <c r="AM57" s="2371"/>
      <c r="AN57" s="2371"/>
      <c r="AO57" s="237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2" t="s">
        <v>1884</v>
      </c>
      <c r="C59" s="2363"/>
      <c r="D59" s="2363"/>
      <c r="E59" s="2363"/>
      <c r="F59" s="2363"/>
      <c r="G59" s="2363"/>
      <c r="H59" s="2363"/>
      <c r="I59" s="2364"/>
      <c r="J59" s="2294" t="s">
        <v>2587</v>
      </c>
      <c r="K59" s="2294"/>
      <c r="L59" s="2294"/>
      <c r="M59" s="2294"/>
      <c r="N59" s="2294"/>
      <c r="O59" s="2294"/>
      <c r="P59" s="2294"/>
      <c r="Q59" s="2294"/>
      <c r="R59" s="2294"/>
      <c r="S59" s="2294"/>
      <c r="T59" s="2294"/>
      <c r="U59" s="2294"/>
      <c r="V59" s="2294"/>
      <c r="W59" s="2294"/>
      <c r="X59" s="2294"/>
      <c r="Y59" s="2294"/>
      <c r="Z59" s="2294"/>
      <c r="AA59" s="2294"/>
      <c r="AB59" s="2294"/>
      <c r="AC59" s="2294"/>
      <c r="AD59" s="2294"/>
      <c r="AE59" s="2294"/>
      <c r="AF59" s="2294"/>
      <c r="AG59" s="2294"/>
      <c r="AH59" s="2294"/>
      <c r="AI59" s="2294"/>
      <c r="AJ59" s="2294"/>
      <c r="AK59" s="2294"/>
      <c r="AL59" s="2294"/>
      <c r="AM59" s="2294"/>
      <c r="AN59" s="2294"/>
      <c r="AO59" s="2294"/>
      <c r="AP59" s="2294"/>
      <c r="AQ59" s="2294"/>
      <c r="AR59" s="2294"/>
      <c r="AS59" s="2294"/>
      <c r="AT59" s="2294"/>
      <c r="AU59" s="2294"/>
      <c r="AV59" s="2294"/>
      <c r="AW59" s="2295"/>
      <c r="AX59" s="1207"/>
      <c r="AY59" s="1207"/>
      <c r="AZ59" s="1207"/>
      <c r="BA59" s="1207"/>
      <c r="BB59" s="1207"/>
      <c r="BC59" s="1207"/>
      <c r="BD59" s="1207"/>
      <c r="BE59" s="1213"/>
    </row>
    <row r="60" spans="1:58" ht="15.75" customHeight="1">
      <c r="A60" s="1207"/>
      <c r="B60" s="2354" t="str">
        <f>IF(B52="", "", B52)</f>
        <v>Services Company 1</v>
      </c>
      <c r="C60" s="2355"/>
      <c r="D60" s="2355"/>
      <c r="E60" s="2355"/>
      <c r="F60" s="2355"/>
      <c r="G60" s="2355"/>
      <c r="H60" s="2355"/>
      <c r="I60" s="2356"/>
      <c r="J60" s="2357"/>
      <c r="K60" s="2199"/>
      <c r="L60" s="2199"/>
      <c r="M60" s="2199"/>
      <c r="N60" s="2199"/>
      <c r="O60" s="2199"/>
      <c r="P60" s="2199"/>
      <c r="Q60" s="2199"/>
      <c r="R60" s="2199"/>
      <c r="S60" s="2199"/>
      <c r="T60" s="2199"/>
      <c r="U60" s="2199"/>
      <c r="V60" s="2199"/>
      <c r="W60" s="2199"/>
      <c r="X60" s="2199"/>
      <c r="Y60" s="2199"/>
      <c r="Z60" s="2199"/>
      <c r="AA60" s="2199"/>
      <c r="AB60" s="2199"/>
      <c r="AC60" s="2199"/>
      <c r="AD60" s="2199"/>
      <c r="AE60" s="2199"/>
      <c r="AF60" s="2199"/>
      <c r="AG60" s="2199"/>
      <c r="AH60" s="2199"/>
      <c r="AI60" s="2199"/>
      <c r="AJ60" s="2199"/>
      <c r="AK60" s="2199"/>
      <c r="AL60" s="2199"/>
      <c r="AM60" s="2199"/>
      <c r="AN60" s="2199"/>
      <c r="AO60" s="2199"/>
      <c r="AP60" s="2199"/>
      <c r="AQ60" s="2199"/>
      <c r="AR60" s="2199"/>
      <c r="AS60" s="2199"/>
      <c r="AT60" s="2199"/>
      <c r="AU60" s="2199"/>
      <c r="AV60" s="2199"/>
      <c r="AW60" s="2200"/>
      <c r="AX60" s="1207"/>
      <c r="AY60" s="1207"/>
      <c r="AZ60" s="1207"/>
      <c r="BA60" s="1207"/>
      <c r="BB60" s="1207"/>
      <c r="BC60" s="1207"/>
      <c r="BD60" s="1207"/>
      <c r="BE60" s="1213"/>
    </row>
    <row r="61" spans="1:58" ht="15.75" customHeight="1">
      <c r="A61" s="1207"/>
      <c r="B61" s="2354" t="str">
        <f>IF(B53="", "", B53)</f>
        <v>Services Company 2</v>
      </c>
      <c r="C61" s="2355"/>
      <c r="D61" s="2355"/>
      <c r="E61" s="2355"/>
      <c r="F61" s="2355"/>
      <c r="G61" s="2355"/>
      <c r="H61" s="2355"/>
      <c r="I61" s="2356"/>
      <c r="J61" s="2357"/>
      <c r="K61" s="2199"/>
      <c r="L61" s="2199"/>
      <c r="M61" s="2199"/>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c r="AI61" s="2199"/>
      <c r="AJ61" s="2199"/>
      <c r="AK61" s="2199"/>
      <c r="AL61" s="2199"/>
      <c r="AM61" s="2199"/>
      <c r="AN61" s="2199"/>
      <c r="AO61" s="2199"/>
      <c r="AP61" s="2199"/>
      <c r="AQ61" s="2199"/>
      <c r="AR61" s="2199"/>
      <c r="AS61" s="2199"/>
      <c r="AT61" s="2199"/>
      <c r="AU61" s="2199"/>
      <c r="AV61" s="2199"/>
      <c r="AW61" s="2200"/>
      <c r="AX61" s="1207"/>
      <c r="AY61" s="1207"/>
      <c r="AZ61" s="1207"/>
      <c r="BA61" s="1207"/>
      <c r="BB61" s="1207"/>
      <c r="BC61" s="1207"/>
      <c r="BD61" s="1207"/>
      <c r="BE61" s="1213"/>
    </row>
    <row r="62" spans="1:58" ht="15.75" customHeight="1">
      <c r="A62" s="1207"/>
      <c r="B62" s="2354" t="str">
        <f>IF(B54="", "", B54)</f>
        <v/>
      </c>
      <c r="C62" s="2355"/>
      <c r="D62" s="2355"/>
      <c r="E62" s="2355"/>
      <c r="F62" s="2355"/>
      <c r="G62" s="2355"/>
      <c r="H62" s="2355"/>
      <c r="I62" s="2356"/>
      <c r="J62" s="2357"/>
      <c r="K62" s="2199"/>
      <c r="L62" s="2199"/>
      <c r="M62" s="2199"/>
      <c r="N62" s="2199"/>
      <c r="O62" s="2199"/>
      <c r="P62" s="2199"/>
      <c r="Q62" s="2199"/>
      <c r="R62" s="2199"/>
      <c r="S62" s="2199"/>
      <c r="T62" s="2199"/>
      <c r="U62" s="2199"/>
      <c r="V62" s="2199"/>
      <c r="W62" s="2199"/>
      <c r="X62" s="2199"/>
      <c r="Y62" s="2199"/>
      <c r="Z62" s="2199"/>
      <c r="AA62" s="2199"/>
      <c r="AB62" s="2199"/>
      <c r="AC62" s="2199"/>
      <c r="AD62" s="2199"/>
      <c r="AE62" s="2199"/>
      <c r="AF62" s="2199"/>
      <c r="AG62" s="2199"/>
      <c r="AH62" s="2199"/>
      <c r="AI62" s="2199"/>
      <c r="AJ62" s="2199"/>
      <c r="AK62" s="2199"/>
      <c r="AL62" s="2199"/>
      <c r="AM62" s="2199"/>
      <c r="AN62" s="2199"/>
      <c r="AO62" s="2199"/>
      <c r="AP62" s="2199"/>
      <c r="AQ62" s="2199"/>
      <c r="AR62" s="2199"/>
      <c r="AS62" s="2199"/>
      <c r="AT62" s="2199"/>
      <c r="AU62" s="2199"/>
      <c r="AV62" s="2199"/>
      <c r="AW62" s="2200"/>
      <c r="AX62" s="1207"/>
      <c r="AY62" s="1207"/>
      <c r="AZ62" s="1207"/>
      <c r="BA62" s="1207"/>
      <c r="BB62" s="1207"/>
      <c r="BC62" s="1207"/>
      <c r="BD62" s="1207"/>
      <c r="BE62" s="1213"/>
    </row>
    <row r="63" spans="1:58" ht="15.75" customHeight="1">
      <c r="A63" s="1207"/>
      <c r="B63" s="2354" t="str">
        <f>IF(B55="", "", B55)</f>
        <v/>
      </c>
      <c r="C63" s="2355"/>
      <c r="D63" s="2355"/>
      <c r="E63" s="2355"/>
      <c r="F63" s="2355"/>
      <c r="G63" s="2355"/>
      <c r="H63" s="2355"/>
      <c r="I63" s="2356"/>
      <c r="J63" s="2357"/>
      <c r="K63" s="2199"/>
      <c r="L63" s="2199"/>
      <c r="M63" s="2199"/>
      <c r="N63" s="2199"/>
      <c r="O63" s="2199"/>
      <c r="P63" s="2199"/>
      <c r="Q63" s="2199"/>
      <c r="R63" s="2199"/>
      <c r="S63" s="2199"/>
      <c r="T63" s="2199"/>
      <c r="U63" s="2199"/>
      <c r="V63" s="2199"/>
      <c r="W63" s="2199"/>
      <c r="X63" s="2199"/>
      <c r="Y63" s="2199"/>
      <c r="Z63" s="2199"/>
      <c r="AA63" s="2199"/>
      <c r="AB63" s="2199"/>
      <c r="AC63" s="2199"/>
      <c r="AD63" s="2199"/>
      <c r="AE63" s="2199"/>
      <c r="AF63" s="2199"/>
      <c r="AG63" s="2199"/>
      <c r="AH63" s="2199"/>
      <c r="AI63" s="2199"/>
      <c r="AJ63" s="2199"/>
      <c r="AK63" s="2199"/>
      <c r="AL63" s="2199"/>
      <c r="AM63" s="2199"/>
      <c r="AN63" s="2199"/>
      <c r="AO63" s="2199"/>
      <c r="AP63" s="2199"/>
      <c r="AQ63" s="2199"/>
      <c r="AR63" s="2199"/>
      <c r="AS63" s="2199"/>
      <c r="AT63" s="2199"/>
      <c r="AU63" s="2199"/>
      <c r="AV63" s="2199"/>
      <c r="AW63" s="2200"/>
      <c r="AX63" s="1207"/>
      <c r="AY63" s="1207"/>
      <c r="AZ63" s="1207"/>
      <c r="BA63" s="1207"/>
      <c r="BB63" s="1207"/>
      <c r="BC63" s="1207"/>
      <c r="BD63" s="1207"/>
      <c r="BE63" s="1213"/>
    </row>
    <row r="64" spans="1:58" ht="15.75" customHeight="1" thickBot="1">
      <c r="A64" s="1207"/>
      <c r="B64" s="2358" t="str">
        <f>IF(B56="", "", B56)</f>
        <v/>
      </c>
      <c r="C64" s="2359"/>
      <c r="D64" s="2359"/>
      <c r="E64" s="2359"/>
      <c r="F64" s="2359"/>
      <c r="G64" s="2359"/>
      <c r="H64" s="2359"/>
      <c r="I64" s="2360"/>
      <c r="J64" s="2361"/>
      <c r="K64" s="2341"/>
      <c r="L64" s="2341"/>
      <c r="M64" s="2341"/>
      <c r="N64" s="2341"/>
      <c r="O64" s="2341"/>
      <c r="P64" s="2341"/>
      <c r="Q64" s="2341"/>
      <c r="R64" s="2341"/>
      <c r="S64" s="2341"/>
      <c r="T64" s="2341"/>
      <c r="U64" s="2341"/>
      <c r="V64" s="2341"/>
      <c r="W64" s="2341"/>
      <c r="X64" s="2341"/>
      <c r="Y64" s="2341"/>
      <c r="Z64" s="2341"/>
      <c r="AA64" s="2341"/>
      <c r="AB64" s="2341"/>
      <c r="AC64" s="2341"/>
      <c r="AD64" s="2341"/>
      <c r="AE64" s="2341"/>
      <c r="AF64" s="2341"/>
      <c r="AG64" s="2341"/>
      <c r="AH64" s="2341"/>
      <c r="AI64" s="2341"/>
      <c r="AJ64" s="2341"/>
      <c r="AK64" s="2341"/>
      <c r="AL64" s="2341"/>
      <c r="AM64" s="2341"/>
      <c r="AN64" s="2341"/>
      <c r="AO64" s="2341"/>
      <c r="AP64" s="2341"/>
      <c r="AQ64" s="2341"/>
      <c r="AR64" s="2341"/>
      <c r="AS64" s="2341"/>
      <c r="AT64" s="2341"/>
      <c r="AU64" s="2341"/>
      <c r="AV64" s="2341"/>
      <c r="AW64" s="234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3" t="s">
        <v>1888</v>
      </c>
      <c r="C68" s="2294"/>
      <c r="D68" s="2294"/>
      <c r="E68" s="2294"/>
      <c r="F68" s="2294"/>
      <c r="G68" s="2294"/>
      <c r="H68" s="2294"/>
      <c r="I68" s="2294"/>
      <c r="J68" s="2294"/>
      <c r="K68" s="2294"/>
      <c r="L68" s="2294"/>
      <c r="M68" s="2294"/>
      <c r="N68" s="2294"/>
      <c r="O68" s="2294"/>
      <c r="P68" s="2294"/>
      <c r="Q68" s="2294"/>
      <c r="R68" s="2294"/>
      <c r="S68" s="2294"/>
      <c r="T68" s="2294"/>
      <c r="U68" s="2294"/>
      <c r="V68" s="2294"/>
      <c r="W68" s="2294"/>
      <c r="X68" s="2294"/>
      <c r="Y68" s="2294"/>
      <c r="Z68" s="2294"/>
      <c r="AA68" s="2295"/>
      <c r="AB68" s="1207"/>
      <c r="AC68" s="2235" t="s">
        <v>1889</v>
      </c>
      <c r="AD68" s="2236"/>
      <c r="AE68" s="2236"/>
      <c r="AF68" s="2236"/>
      <c r="AG68" s="2236"/>
      <c r="AH68" s="2236"/>
      <c r="AI68" s="2236"/>
      <c r="AJ68" s="2236"/>
      <c r="AK68" s="2236"/>
      <c r="AL68" s="2236"/>
      <c r="AM68" s="2236"/>
      <c r="AN68" s="2236"/>
      <c r="AO68" s="2236"/>
      <c r="AP68" s="2236"/>
      <c r="AQ68" s="2236"/>
      <c r="AR68" s="2236"/>
      <c r="AS68" s="2236"/>
      <c r="AT68" s="2236"/>
      <c r="AU68" s="2236"/>
      <c r="AV68" s="2343" t="s">
        <v>678</v>
      </c>
      <c r="AW68" s="2279"/>
      <c r="AX68" s="2279"/>
      <c r="AY68" s="2279"/>
      <c r="AZ68" s="2279"/>
      <c r="BA68" s="2279"/>
      <c r="BB68" s="2279"/>
      <c r="BC68" s="2280"/>
      <c r="BD68" s="1207"/>
      <c r="BE68" s="1213"/>
      <c r="BM68" s="1218" t="s">
        <v>2588</v>
      </c>
    </row>
    <row r="69" spans="1:65" ht="15.75" customHeight="1" thickTop="1" thickBot="1">
      <c r="A69" s="1207"/>
      <c r="B69" s="2344" t="s">
        <v>1890</v>
      </c>
      <c r="C69" s="2345"/>
      <c r="D69" s="2345"/>
      <c r="E69" s="2345"/>
      <c r="F69" s="2345"/>
      <c r="G69" s="2345"/>
      <c r="H69" s="2345"/>
      <c r="I69" s="2345"/>
      <c r="J69" s="2345"/>
      <c r="K69" s="2345"/>
      <c r="L69" s="2345"/>
      <c r="M69" s="2345"/>
      <c r="N69" s="2345"/>
      <c r="O69" s="2346" t="s">
        <v>1891</v>
      </c>
      <c r="P69" s="2347"/>
      <c r="Q69" s="2347"/>
      <c r="R69" s="2347"/>
      <c r="S69" s="2347"/>
      <c r="T69" s="2347"/>
      <c r="U69" s="2347"/>
      <c r="V69" s="2347"/>
      <c r="W69" s="2347"/>
      <c r="X69" s="2347"/>
      <c r="Y69" s="2347"/>
      <c r="Z69" s="2347"/>
      <c r="AA69" s="2348"/>
      <c r="AB69" s="1207"/>
      <c r="AC69" s="2349" t="s">
        <v>1892</v>
      </c>
      <c r="AD69" s="2350"/>
      <c r="AE69" s="2350"/>
      <c r="AF69" s="2350"/>
      <c r="AG69" s="2350"/>
      <c r="AH69" s="2350"/>
      <c r="AI69" s="2350"/>
      <c r="AJ69" s="2350"/>
      <c r="AK69" s="2350"/>
      <c r="AL69" s="2350"/>
      <c r="AM69" s="2350"/>
      <c r="AN69" s="2350"/>
      <c r="AO69" s="2350"/>
      <c r="AP69" s="2350"/>
      <c r="AQ69" s="2350"/>
      <c r="AR69" s="2350"/>
      <c r="AS69" s="2350"/>
      <c r="AT69" s="2350"/>
      <c r="AU69" s="2350"/>
      <c r="AV69" s="2351"/>
      <c r="AW69" s="2352"/>
      <c r="AX69" s="2352"/>
      <c r="AY69" s="2352"/>
      <c r="AZ69" s="2352"/>
      <c r="BA69" s="2352"/>
      <c r="BB69" s="2352"/>
      <c r="BC69" s="2353"/>
      <c r="BD69" s="1207"/>
      <c r="BE69" s="1213"/>
      <c r="BM69" s="1219" t="s">
        <v>554</v>
      </c>
    </row>
    <row r="70" spans="1:65" ht="15.75" customHeight="1">
      <c r="A70" s="1207"/>
      <c r="B70" s="2326" t="s">
        <v>2589</v>
      </c>
      <c r="C70" s="2327"/>
      <c r="D70" s="2327"/>
      <c r="E70" s="2327"/>
      <c r="F70" s="2327"/>
      <c r="G70" s="2327"/>
      <c r="H70" s="2327"/>
      <c r="I70" s="2327"/>
      <c r="J70" s="2327"/>
      <c r="K70" s="2327"/>
      <c r="L70" s="2327"/>
      <c r="M70" s="2327"/>
      <c r="N70" s="2327"/>
      <c r="O70" s="2229">
        <v>0</v>
      </c>
      <c r="P70" s="2229"/>
      <c r="Q70" s="2229"/>
      <c r="R70" s="2229"/>
      <c r="S70" s="2229"/>
      <c r="T70" s="2229"/>
      <c r="U70" s="2229"/>
      <c r="V70" s="2229"/>
      <c r="W70" s="2229"/>
      <c r="X70" s="2229"/>
      <c r="Y70" s="2229"/>
      <c r="Z70" s="2229"/>
      <c r="AA70" s="2328"/>
      <c r="AB70" s="1207"/>
      <c r="AC70" s="2271" t="s">
        <v>1893</v>
      </c>
      <c r="AD70" s="2237"/>
      <c r="AE70" s="2237"/>
      <c r="AF70" s="2337"/>
      <c r="AG70" s="2337"/>
      <c r="AH70" s="2337"/>
      <c r="AI70" s="2337"/>
      <c r="AJ70" s="2337"/>
      <c r="AK70" s="2337"/>
      <c r="AL70" s="2337"/>
      <c r="AM70" s="2337"/>
      <c r="AN70" s="2337"/>
      <c r="AO70" s="2337"/>
      <c r="AP70" s="2337"/>
      <c r="AQ70" s="2337"/>
      <c r="AR70" s="2337"/>
      <c r="AS70" s="2337"/>
      <c r="AT70" s="2337"/>
      <c r="AU70" s="2338"/>
      <c r="AV70" s="1207"/>
      <c r="AW70" s="1207"/>
      <c r="AX70" s="1207"/>
      <c r="AY70" s="1207"/>
      <c r="AZ70" s="1207"/>
      <c r="BA70" s="1207"/>
      <c r="BB70" s="1207"/>
      <c r="BC70" s="1207"/>
      <c r="BD70" s="1207"/>
      <c r="BE70" s="1213"/>
      <c r="BM70" s="1220" t="s">
        <v>678</v>
      </c>
    </row>
    <row r="71" spans="1:65" ht="15.75" customHeight="1" thickBot="1">
      <c r="A71" s="1207"/>
      <c r="B71" s="2326" t="s">
        <v>2590</v>
      </c>
      <c r="C71" s="2327"/>
      <c r="D71" s="2327"/>
      <c r="E71" s="2327"/>
      <c r="F71" s="2327"/>
      <c r="G71" s="2327"/>
      <c r="H71" s="2327"/>
      <c r="I71" s="2327"/>
      <c r="J71" s="2327"/>
      <c r="K71" s="2327"/>
      <c r="L71" s="2327"/>
      <c r="M71" s="2327"/>
      <c r="N71" s="2327"/>
      <c r="O71" s="2229">
        <v>0</v>
      </c>
      <c r="P71" s="2229"/>
      <c r="Q71" s="2229"/>
      <c r="R71" s="2229"/>
      <c r="S71" s="2229"/>
      <c r="T71" s="2229"/>
      <c r="U71" s="2229"/>
      <c r="V71" s="2229"/>
      <c r="W71" s="2229"/>
      <c r="X71" s="2229"/>
      <c r="Y71" s="2229"/>
      <c r="Z71" s="2229"/>
      <c r="AA71" s="2328"/>
      <c r="AB71" s="1207"/>
      <c r="AC71" s="2339" t="s">
        <v>1894</v>
      </c>
      <c r="AD71" s="2340"/>
      <c r="AE71" s="2340"/>
      <c r="AF71" s="2341"/>
      <c r="AG71" s="2341"/>
      <c r="AH71" s="2341"/>
      <c r="AI71" s="2341"/>
      <c r="AJ71" s="2341"/>
      <c r="AK71" s="2341"/>
      <c r="AL71" s="2341"/>
      <c r="AM71" s="2341"/>
      <c r="AN71" s="2341"/>
      <c r="AO71" s="2341"/>
      <c r="AP71" s="2341"/>
      <c r="AQ71" s="2341"/>
      <c r="AR71" s="2341"/>
      <c r="AS71" s="2341"/>
      <c r="AT71" s="2341"/>
      <c r="AU71" s="2342"/>
      <c r="AV71" s="1207"/>
      <c r="AW71" s="1207"/>
      <c r="AX71" s="1207"/>
      <c r="AY71" s="1207"/>
      <c r="AZ71" s="1207"/>
      <c r="BA71" s="1207"/>
      <c r="BB71" s="1207"/>
      <c r="BC71" s="1207"/>
      <c r="BD71" s="1207"/>
      <c r="BE71" s="1213"/>
      <c r="BM71" s="1204" t="s">
        <v>2591</v>
      </c>
    </row>
    <row r="72" spans="1:65" ht="15.75" customHeight="1">
      <c r="A72" s="1207"/>
      <c r="B72" s="2326" t="s">
        <v>2592</v>
      </c>
      <c r="C72" s="2327"/>
      <c r="D72" s="2327"/>
      <c r="E72" s="2327"/>
      <c r="F72" s="2327"/>
      <c r="G72" s="2327"/>
      <c r="H72" s="2327"/>
      <c r="I72" s="2327"/>
      <c r="J72" s="2327"/>
      <c r="K72" s="2327"/>
      <c r="L72" s="2327"/>
      <c r="M72" s="2327"/>
      <c r="N72" s="2327"/>
      <c r="O72" s="2229">
        <v>0</v>
      </c>
      <c r="P72" s="2229"/>
      <c r="Q72" s="2229"/>
      <c r="R72" s="2229"/>
      <c r="S72" s="2229"/>
      <c r="T72" s="2229"/>
      <c r="U72" s="2229"/>
      <c r="V72" s="2229"/>
      <c r="W72" s="2229"/>
      <c r="X72" s="2229"/>
      <c r="Y72" s="2229"/>
      <c r="Z72" s="2229"/>
      <c r="AA72" s="2328"/>
      <c r="AB72" s="1207"/>
      <c r="AC72" s="2329" t="s">
        <v>2593</v>
      </c>
      <c r="AD72" s="2330"/>
      <c r="AE72" s="2330"/>
      <c r="AF72" s="2330"/>
      <c r="AG72" s="2330"/>
      <c r="AH72" s="2330"/>
      <c r="AI72" s="2330"/>
      <c r="AJ72" s="2330"/>
      <c r="AK72" s="2330"/>
      <c r="AL72" s="2330"/>
      <c r="AM72" s="2330"/>
      <c r="AN72" s="2330"/>
      <c r="AO72" s="2330"/>
      <c r="AP72" s="2330"/>
      <c r="AQ72" s="2330"/>
      <c r="AR72" s="2330"/>
      <c r="AS72" s="2330"/>
      <c r="AT72" s="2330"/>
      <c r="AU72" s="2330"/>
      <c r="AV72" s="2237"/>
      <c r="AW72" s="2237"/>
      <c r="AX72" s="2237"/>
      <c r="AY72" s="2237"/>
      <c r="AZ72" s="2237"/>
      <c r="BA72" s="2237"/>
      <c r="BB72" s="2237"/>
      <c r="BC72" s="2238"/>
      <c r="BD72" s="1207"/>
      <c r="BE72" s="1213"/>
    </row>
    <row r="73" spans="1:65" ht="15.75" customHeight="1">
      <c r="A73" s="1207"/>
      <c r="B73" s="2331" t="s">
        <v>2594</v>
      </c>
      <c r="C73" s="2332"/>
      <c r="D73" s="2332"/>
      <c r="E73" s="2332"/>
      <c r="F73" s="2332"/>
      <c r="G73" s="2332"/>
      <c r="H73" s="2332"/>
      <c r="I73" s="2332"/>
      <c r="J73" s="2332"/>
      <c r="K73" s="2332"/>
      <c r="L73" s="2332"/>
      <c r="M73" s="2332"/>
      <c r="N73" s="2332"/>
      <c r="O73" s="2229">
        <v>0</v>
      </c>
      <c r="P73" s="2229"/>
      <c r="Q73" s="2229"/>
      <c r="R73" s="2229"/>
      <c r="S73" s="2229"/>
      <c r="T73" s="2229"/>
      <c r="U73" s="2229"/>
      <c r="V73" s="2229"/>
      <c r="W73" s="2229"/>
      <c r="X73" s="2229"/>
      <c r="Y73" s="2229"/>
      <c r="Z73" s="2229"/>
      <c r="AA73" s="2328"/>
      <c r="AB73" s="1207"/>
      <c r="AC73" s="2248" t="s">
        <v>2261</v>
      </c>
      <c r="AD73" s="2249"/>
      <c r="AE73" s="2249"/>
      <c r="AF73" s="2249"/>
      <c r="AG73" s="2249"/>
      <c r="AH73" s="2249"/>
      <c r="AI73" s="2249"/>
      <c r="AJ73" s="2249"/>
      <c r="AK73" s="2249"/>
      <c r="AL73" s="2249"/>
      <c r="AM73" s="2249"/>
      <c r="AN73" s="2249"/>
      <c r="AO73" s="2249"/>
      <c r="AP73" s="2249"/>
      <c r="AQ73" s="2249"/>
      <c r="AR73" s="2249"/>
      <c r="AS73" s="2249"/>
      <c r="AT73" s="2249"/>
      <c r="AU73" s="2249"/>
      <c r="AV73" s="2249"/>
      <c r="AW73" s="2249"/>
      <c r="AX73" s="2249"/>
      <c r="AY73" s="2249"/>
      <c r="AZ73" s="2249"/>
      <c r="BA73" s="2249"/>
      <c r="BB73" s="2249"/>
      <c r="BC73" s="2250"/>
      <c r="BD73" s="1207"/>
      <c r="BE73" s="1213"/>
    </row>
    <row r="74" spans="1:65" ht="15.75" customHeight="1">
      <c r="A74" s="1207"/>
      <c r="B74" s="2195"/>
      <c r="C74" s="2196"/>
      <c r="D74" s="2196"/>
      <c r="E74" s="2196"/>
      <c r="F74" s="2196"/>
      <c r="G74" s="2196"/>
      <c r="H74" s="2196"/>
      <c r="I74" s="2196"/>
      <c r="J74" s="2196"/>
      <c r="K74" s="2196"/>
      <c r="L74" s="2196"/>
      <c r="M74" s="2196"/>
      <c r="N74" s="2196"/>
      <c r="O74" s="2229"/>
      <c r="P74" s="2229"/>
      <c r="Q74" s="2229"/>
      <c r="R74" s="2229"/>
      <c r="S74" s="2229"/>
      <c r="T74" s="2229"/>
      <c r="U74" s="2229"/>
      <c r="V74" s="2229"/>
      <c r="W74" s="2229"/>
      <c r="X74" s="2229"/>
      <c r="Y74" s="2229"/>
      <c r="Z74" s="2229"/>
      <c r="AA74" s="2328"/>
      <c r="AB74" s="1207"/>
      <c r="AC74" s="2248"/>
      <c r="AD74" s="2249"/>
      <c r="AE74" s="2249"/>
      <c r="AF74" s="2249"/>
      <c r="AG74" s="2249"/>
      <c r="AH74" s="2249"/>
      <c r="AI74" s="2249"/>
      <c r="AJ74" s="2249"/>
      <c r="AK74" s="2249"/>
      <c r="AL74" s="2249"/>
      <c r="AM74" s="2249"/>
      <c r="AN74" s="2249"/>
      <c r="AO74" s="2249"/>
      <c r="AP74" s="2249"/>
      <c r="AQ74" s="2249"/>
      <c r="AR74" s="2249"/>
      <c r="AS74" s="2249"/>
      <c r="AT74" s="2249"/>
      <c r="AU74" s="2249"/>
      <c r="AV74" s="2249"/>
      <c r="AW74" s="2249"/>
      <c r="AX74" s="2249"/>
      <c r="AY74" s="2249"/>
      <c r="AZ74" s="2249"/>
      <c r="BA74" s="2249"/>
      <c r="BB74" s="2249"/>
      <c r="BC74" s="2250"/>
      <c r="BD74" s="1207"/>
      <c r="BE74" s="1213"/>
    </row>
    <row r="75" spans="1:65" ht="15.75" customHeight="1" thickBot="1">
      <c r="A75" s="1207"/>
      <c r="B75" s="2333" t="s">
        <v>125</v>
      </c>
      <c r="C75" s="2334"/>
      <c r="D75" s="2334"/>
      <c r="E75" s="2334"/>
      <c r="F75" s="2334"/>
      <c r="G75" s="2334"/>
      <c r="H75" s="2334"/>
      <c r="I75" s="2334"/>
      <c r="J75" s="2334"/>
      <c r="K75" s="2334"/>
      <c r="L75" s="2334"/>
      <c r="M75" s="2334"/>
      <c r="N75" s="2334"/>
      <c r="O75" s="2335">
        <f>SUM(O70:AA74)</f>
        <v>0</v>
      </c>
      <c r="P75" s="2335"/>
      <c r="Q75" s="2335"/>
      <c r="R75" s="2335"/>
      <c r="S75" s="2335"/>
      <c r="T75" s="2335"/>
      <c r="U75" s="2335"/>
      <c r="V75" s="2335"/>
      <c r="W75" s="2335"/>
      <c r="X75" s="2335"/>
      <c r="Y75" s="2335"/>
      <c r="Z75" s="2335"/>
      <c r="AA75" s="2336"/>
      <c r="AB75" s="1207"/>
      <c r="AC75" s="2248"/>
      <c r="AD75" s="2249"/>
      <c r="AE75" s="2249"/>
      <c r="AF75" s="2249"/>
      <c r="AG75" s="2249"/>
      <c r="AH75" s="2249"/>
      <c r="AI75" s="2249"/>
      <c r="AJ75" s="2249"/>
      <c r="AK75" s="2249"/>
      <c r="AL75" s="2249"/>
      <c r="AM75" s="2249"/>
      <c r="AN75" s="2249"/>
      <c r="AO75" s="2249"/>
      <c r="AP75" s="2249"/>
      <c r="AQ75" s="2249"/>
      <c r="AR75" s="2249"/>
      <c r="AS75" s="2249"/>
      <c r="AT75" s="2249"/>
      <c r="AU75" s="2249"/>
      <c r="AV75" s="2249"/>
      <c r="AW75" s="2249"/>
      <c r="AX75" s="2249"/>
      <c r="AY75" s="2249"/>
      <c r="AZ75" s="2249"/>
      <c r="BA75" s="2249"/>
      <c r="BB75" s="2249"/>
      <c r="BC75" s="225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48"/>
      <c r="AD76" s="2249"/>
      <c r="AE76" s="2249"/>
      <c r="AF76" s="2249"/>
      <c r="AG76" s="2249"/>
      <c r="AH76" s="2249"/>
      <c r="AI76" s="2249"/>
      <c r="AJ76" s="2249"/>
      <c r="AK76" s="2249"/>
      <c r="AL76" s="2249"/>
      <c r="AM76" s="2249"/>
      <c r="AN76" s="2249"/>
      <c r="AO76" s="2249"/>
      <c r="AP76" s="2249"/>
      <c r="AQ76" s="2249"/>
      <c r="AR76" s="2249"/>
      <c r="AS76" s="2249"/>
      <c r="AT76" s="2249"/>
      <c r="AU76" s="2249"/>
      <c r="AV76" s="2249"/>
      <c r="AW76" s="2249"/>
      <c r="AX76" s="2249"/>
      <c r="AY76" s="2249"/>
      <c r="AZ76" s="2249"/>
      <c r="BA76" s="2249"/>
      <c r="BB76" s="2249"/>
      <c r="BC76" s="2250"/>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1"/>
      <c r="AD77" s="2252"/>
      <c r="AE77" s="2252"/>
      <c r="AF77" s="2252"/>
      <c r="AG77" s="2252"/>
      <c r="AH77" s="2252"/>
      <c r="AI77" s="2252"/>
      <c r="AJ77" s="2252"/>
      <c r="AK77" s="2252"/>
      <c r="AL77" s="2252"/>
      <c r="AM77" s="2252"/>
      <c r="AN77" s="2252"/>
      <c r="AO77" s="2252"/>
      <c r="AP77" s="2252"/>
      <c r="AQ77" s="2252"/>
      <c r="AR77" s="2252"/>
      <c r="AS77" s="2252"/>
      <c r="AT77" s="2252"/>
      <c r="AU77" s="2252"/>
      <c r="AV77" s="2252"/>
      <c r="AW77" s="2252"/>
      <c r="AX77" s="2252"/>
      <c r="AY77" s="2252"/>
      <c r="AZ77" s="2252"/>
      <c r="BA77" s="2252"/>
      <c r="BB77" s="2252"/>
      <c r="BC77" s="225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3" t="s">
        <v>2244</v>
      </c>
      <c r="C79" s="2324"/>
      <c r="D79" s="2324"/>
      <c r="E79" s="2324"/>
      <c r="F79" s="2324"/>
      <c r="G79" s="2324"/>
      <c r="H79" s="2324"/>
      <c r="I79" s="2324"/>
      <c r="J79" s="2324"/>
      <c r="K79" s="2324"/>
      <c r="L79" s="2324"/>
      <c r="M79" s="2324"/>
      <c r="N79" s="2324"/>
      <c r="O79" s="2324"/>
      <c r="P79" s="2324"/>
      <c r="Q79" s="2324"/>
      <c r="R79" s="2324"/>
      <c r="S79" s="2324"/>
      <c r="T79" s="2324"/>
      <c r="U79" s="2324"/>
      <c r="V79" s="2324"/>
      <c r="W79" s="2324"/>
      <c r="X79" s="2324"/>
      <c r="Y79" s="2324"/>
      <c r="Z79" s="2324"/>
      <c r="AA79" s="2324"/>
      <c r="AB79" s="2324"/>
      <c r="AC79" s="2324"/>
      <c r="AD79" s="2324"/>
      <c r="AE79" s="2324"/>
      <c r="AF79" s="2324"/>
      <c r="AG79" s="2324"/>
      <c r="AH79" s="2325"/>
      <c r="AI79" s="1207"/>
      <c r="AJ79" s="2296" t="s">
        <v>2595</v>
      </c>
      <c r="AK79" s="2297"/>
      <c r="AL79" s="2297"/>
      <c r="AM79" s="2297"/>
      <c r="AN79" s="2297"/>
      <c r="AO79" s="2297"/>
      <c r="AP79" s="2297"/>
      <c r="AQ79" s="2297"/>
      <c r="AR79" s="2297"/>
      <c r="AS79" s="2297"/>
      <c r="AT79" s="2297"/>
      <c r="AU79" s="2297"/>
      <c r="AV79" s="2297"/>
      <c r="AW79" s="2297"/>
      <c r="AX79" s="2297"/>
      <c r="AY79" s="2317" t="s">
        <v>554</v>
      </c>
      <c r="AZ79" s="2317"/>
      <c r="BA79" s="2317"/>
      <c r="BB79" s="2318"/>
      <c r="BC79" s="1207"/>
      <c r="BD79" s="1207"/>
      <c r="BE79" s="1213"/>
    </row>
    <row r="80" spans="1:65" ht="15.75" customHeight="1">
      <c r="A80" s="1207"/>
      <c r="B80" s="2316"/>
      <c r="C80" s="2305"/>
      <c r="D80" s="2305"/>
      <c r="E80" s="2305"/>
      <c r="F80" s="2305"/>
      <c r="G80" s="2305"/>
      <c r="H80" s="2305"/>
      <c r="I80" s="2305" t="s">
        <v>1896</v>
      </c>
      <c r="J80" s="2305"/>
      <c r="K80" s="2305"/>
      <c r="L80" s="2305"/>
      <c r="M80" s="2305"/>
      <c r="N80" s="2305"/>
      <c r="O80" s="2305" t="s">
        <v>1897</v>
      </c>
      <c r="P80" s="2305"/>
      <c r="Q80" s="2305"/>
      <c r="R80" s="2305"/>
      <c r="S80" s="2305"/>
      <c r="T80" s="2305"/>
      <c r="U80" s="2305"/>
      <c r="V80" s="2321" t="s">
        <v>2262</v>
      </c>
      <c r="W80" s="2321"/>
      <c r="X80" s="2321"/>
      <c r="Y80" s="2321"/>
      <c r="Z80" s="2321"/>
      <c r="AA80" s="2321"/>
      <c r="AB80" s="2272" t="s">
        <v>1898</v>
      </c>
      <c r="AC80" s="2272"/>
      <c r="AD80" s="2272"/>
      <c r="AE80" s="2272"/>
      <c r="AF80" s="2272"/>
      <c r="AG80" s="2272"/>
      <c r="AH80" s="2322"/>
      <c r="AI80" s="1207"/>
      <c r="AJ80" s="2299"/>
      <c r="AK80" s="2300"/>
      <c r="AL80" s="2300"/>
      <c r="AM80" s="2300"/>
      <c r="AN80" s="2300"/>
      <c r="AO80" s="2300"/>
      <c r="AP80" s="2300"/>
      <c r="AQ80" s="2300"/>
      <c r="AR80" s="2300"/>
      <c r="AS80" s="2300"/>
      <c r="AT80" s="2300"/>
      <c r="AU80" s="2300"/>
      <c r="AV80" s="2300"/>
      <c r="AW80" s="2300"/>
      <c r="AX80" s="2300"/>
      <c r="AY80" s="2319"/>
      <c r="AZ80" s="2319"/>
      <c r="BA80" s="2319"/>
      <c r="BB80" s="2320"/>
      <c r="BC80" s="1207"/>
      <c r="BD80" s="1207"/>
      <c r="BE80" s="1213"/>
    </row>
    <row r="81" spans="1:57" ht="15.75" customHeight="1">
      <c r="A81" s="1207"/>
      <c r="B81" s="2316"/>
      <c r="C81" s="2305"/>
      <c r="D81" s="2305"/>
      <c r="E81" s="2305"/>
      <c r="F81" s="2305"/>
      <c r="G81" s="2305"/>
      <c r="H81" s="2305"/>
      <c r="I81" s="2305"/>
      <c r="J81" s="2305"/>
      <c r="K81" s="2305"/>
      <c r="L81" s="2305"/>
      <c r="M81" s="2305"/>
      <c r="N81" s="2305"/>
      <c r="O81" s="2305"/>
      <c r="P81" s="2305"/>
      <c r="Q81" s="2305"/>
      <c r="R81" s="2305"/>
      <c r="S81" s="2305"/>
      <c r="T81" s="2305"/>
      <c r="U81" s="2305"/>
      <c r="V81" s="2321"/>
      <c r="W81" s="2321"/>
      <c r="X81" s="2321"/>
      <c r="Y81" s="2321"/>
      <c r="Z81" s="2321"/>
      <c r="AA81" s="2321"/>
      <c r="AB81" s="2272"/>
      <c r="AC81" s="2272"/>
      <c r="AD81" s="2272"/>
      <c r="AE81" s="2272"/>
      <c r="AF81" s="2272"/>
      <c r="AG81" s="2272"/>
      <c r="AH81" s="2322"/>
      <c r="AI81" s="1207"/>
      <c r="AJ81" s="2299"/>
      <c r="AK81" s="2300"/>
      <c r="AL81" s="2300"/>
      <c r="AM81" s="2300"/>
      <c r="AN81" s="2300"/>
      <c r="AO81" s="2300"/>
      <c r="AP81" s="2300"/>
      <c r="AQ81" s="2300"/>
      <c r="AR81" s="2300"/>
      <c r="AS81" s="2300"/>
      <c r="AT81" s="2300"/>
      <c r="AU81" s="2300"/>
      <c r="AV81" s="2300"/>
      <c r="AW81" s="2300"/>
      <c r="AX81" s="2300"/>
      <c r="AY81" s="2319"/>
      <c r="AZ81" s="2319"/>
      <c r="BA81" s="2319"/>
      <c r="BB81" s="2320"/>
      <c r="BC81" s="1207"/>
      <c r="BD81" s="1207"/>
      <c r="BE81" s="1213"/>
    </row>
    <row r="82" spans="1:57" ht="15.75" customHeight="1">
      <c r="A82" s="1207"/>
      <c r="B82" s="2316" t="s">
        <v>2245</v>
      </c>
      <c r="C82" s="2305"/>
      <c r="D82" s="2305"/>
      <c r="E82" s="2305"/>
      <c r="F82" s="2305"/>
      <c r="G82" s="2305"/>
      <c r="H82" s="2305"/>
      <c r="I82" s="2275">
        <v>0</v>
      </c>
      <c r="J82" s="2275"/>
      <c r="K82" s="2275"/>
      <c r="L82" s="2275"/>
      <c r="M82" s="2275"/>
      <c r="N82" s="2275"/>
      <c r="O82" s="2275">
        <v>0</v>
      </c>
      <c r="P82" s="2275"/>
      <c r="Q82" s="2275"/>
      <c r="R82" s="2275"/>
      <c r="S82" s="2275"/>
      <c r="T82" s="2275"/>
      <c r="U82" s="2275"/>
      <c r="V82" s="2275">
        <v>0</v>
      </c>
      <c r="W82" s="2275"/>
      <c r="X82" s="2275"/>
      <c r="Y82" s="2275"/>
      <c r="Z82" s="2275"/>
      <c r="AA82" s="2275"/>
      <c r="AB82" s="2275">
        <v>0</v>
      </c>
      <c r="AC82" s="2275"/>
      <c r="AD82" s="2275"/>
      <c r="AE82" s="2275"/>
      <c r="AF82" s="2275"/>
      <c r="AG82" s="2275"/>
      <c r="AH82" s="2276"/>
      <c r="AI82" s="1207"/>
      <c r="AJ82" s="2299"/>
      <c r="AK82" s="2300"/>
      <c r="AL82" s="2300"/>
      <c r="AM82" s="2300"/>
      <c r="AN82" s="2300"/>
      <c r="AO82" s="2300"/>
      <c r="AP82" s="2300"/>
      <c r="AQ82" s="2300"/>
      <c r="AR82" s="2300"/>
      <c r="AS82" s="2300"/>
      <c r="AT82" s="2300"/>
      <c r="AU82" s="2300"/>
      <c r="AV82" s="2300"/>
      <c r="AW82" s="2300"/>
      <c r="AX82" s="2300"/>
      <c r="AY82" s="2319"/>
      <c r="AZ82" s="2319"/>
      <c r="BA82" s="2319"/>
      <c r="BB82" s="2320"/>
      <c r="BC82" s="1207"/>
      <c r="BD82" s="1207"/>
      <c r="BE82" s="1213"/>
    </row>
    <row r="83" spans="1:57" ht="15.75" customHeight="1">
      <c r="A83" s="1207"/>
      <c r="B83" s="2316" t="s">
        <v>2246</v>
      </c>
      <c r="C83" s="2305"/>
      <c r="D83" s="2305"/>
      <c r="E83" s="2305"/>
      <c r="F83" s="2305"/>
      <c r="G83" s="2305"/>
      <c r="H83" s="2305"/>
      <c r="I83" s="2275">
        <v>0</v>
      </c>
      <c r="J83" s="2275"/>
      <c r="K83" s="2275"/>
      <c r="L83" s="2275"/>
      <c r="M83" s="2275"/>
      <c r="N83" s="2275"/>
      <c r="O83" s="2275">
        <v>0</v>
      </c>
      <c r="P83" s="2275"/>
      <c r="Q83" s="2275"/>
      <c r="R83" s="2275"/>
      <c r="S83" s="2275"/>
      <c r="T83" s="2275"/>
      <c r="U83" s="2275"/>
      <c r="V83" s="2275">
        <v>0</v>
      </c>
      <c r="W83" s="2275"/>
      <c r="X83" s="2275"/>
      <c r="Y83" s="2275"/>
      <c r="Z83" s="2275"/>
      <c r="AA83" s="2275"/>
      <c r="AB83" s="2275">
        <v>0</v>
      </c>
      <c r="AC83" s="2275"/>
      <c r="AD83" s="2275"/>
      <c r="AE83" s="2275"/>
      <c r="AF83" s="2275"/>
      <c r="AG83" s="2275"/>
      <c r="AH83" s="2276"/>
      <c r="AI83" s="1207"/>
      <c r="AJ83" s="2308" t="s">
        <v>2596</v>
      </c>
      <c r="AK83" s="2309"/>
      <c r="AL83" s="2309"/>
      <c r="AM83" s="2309"/>
      <c r="AN83" s="2309"/>
      <c r="AO83" s="2309"/>
      <c r="AP83" s="2309"/>
      <c r="AQ83" s="2309"/>
      <c r="AR83" s="2309"/>
      <c r="AS83" s="2309"/>
      <c r="AT83" s="2309"/>
      <c r="AU83" s="2309"/>
      <c r="AV83" s="2309"/>
      <c r="AW83" s="2309"/>
      <c r="AX83" s="2309"/>
      <c r="AY83" s="2309"/>
      <c r="AZ83" s="2309"/>
      <c r="BA83" s="2309"/>
      <c r="BB83" s="2310"/>
      <c r="BC83" s="1207"/>
      <c r="BD83" s="1207"/>
      <c r="BE83" s="1213"/>
    </row>
    <row r="84" spans="1:57" ht="15.75" customHeight="1" thickBot="1">
      <c r="A84" s="1207"/>
      <c r="B84" s="2314" t="s">
        <v>1899</v>
      </c>
      <c r="C84" s="2315"/>
      <c r="D84" s="2315"/>
      <c r="E84" s="2315"/>
      <c r="F84" s="2315"/>
      <c r="G84" s="2315"/>
      <c r="H84" s="2315"/>
      <c r="I84" s="2269">
        <v>0</v>
      </c>
      <c r="J84" s="2269"/>
      <c r="K84" s="2269"/>
      <c r="L84" s="2269"/>
      <c r="M84" s="2269"/>
      <c r="N84" s="2269"/>
      <c r="O84" s="2269">
        <v>0</v>
      </c>
      <c r="P84" s="2269"/>
      <c r="Q84" s="2269"/>
      <c r="R84" s="2269"/>
      <c r="S84" s="2269"/>
      <c r="T84" s="2269"/>
      <c r="U84" s="2269"/>
      <c r="V84" s="2269">
        <v>0</v>
      </c>
      <c r="W84" s="2269"/>
      <c r="X84" s="2269"/>
      <c r="Y84" s="2269"/>
      <c r="Z84" s="2269"/>
      <c r="AA84" s="2269"/>
      <c r="AB84" s="2269">
        <v>0</v>
      </c>
      <c r="AC84" s="2269"/>
      <c r="AD84" s="2269"/>
      <c r="AE84" s="2269"/>
      <c r="AF84" s="2269"/>
      <c r="AG84" s="2269"/>
      <c r="AH84" s="2270"/>
      <c r="AI84" s="1207"/>
      <c r="AJ84" s="2311"/>
      <c r="AK84" s="2312"/>
      <c r="AL84" s="2312"/>
      <c r="AM84" s="2312"/>
      <c r="AN84" s="2312"/>
      <c r="AO84" s="2312"/>
      <c r="AP84" s="2312"/>
      <c r="AQ84" s="2312"/>
      <c r="AR84" s="2312"/>
      <c r="AS84" s="2312"/>
      <c r="AT84" s="2312"/>
      <c r="AU84" s="2312"/>
      <c r="AV84" s="2312"/>
      <c r="AW84" s="2312"/>
      <c r="AX84" s="2312"/>
      <c r="AY84" s="2312"/>
      <c r="AZ84" s="2312"/>
      <c r="BA84" s="2312"/>
      <c r="BB84" s="231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5" t="s">
        <v>1901</v>
      </c>
      <c r="C88" s="2236"/>
      <c r="D88" s="2236"/>
      <c r="E88" s="2236"/>
      <c r="F88" s="2236"/>
      <c r="G88" s="2236"/>
      <c r="H88" s="2236"/>
      <c r="I88" s="2236"/>
      <c r="J88" s="2236"/>
      <c r="K88" s="2236"/>
      <c r="L88" s="2236"/>
      <c r="M88" s="2236"/>
      <c r="N88" s="2236"/>
      <c r="O88" s="2236"/>
      <c r="P88" s="2236"/>
      <c r="Q88" s="2236"/>
      <c r="R88" s="2236"/>
      <c r="S88" s="2236"/>
      <c r="T88" s="2236"/>
      <c r="U88" s="2236"/>
      <c r="V88" s="2236"/>
      <c r="W88" s="2236"/>
      <c r="X88" s="2236"/>
      <c r="Y88" s="2236"/>
      <c r="Z88" s="2236"/>
      <c r="AA88" s="2236"/>
      <c r="AB88" s="2236"/>
      <c r="AC88" s="2236"/>
      <c r="AD88" s="2236"/>
      <c r="AE88" s="2236"/>
      <c r="AF88" s="2236"/>
      <c r="AG88" s="2236"/>
      <c r="AH88" s="2241"/>
      <c r="AI88" s="1207"/>
      <c r="AJ88" s="2296" t="s">
        <v>2597</v>
      </c>
      <c r="AK88" s="2297"/>
      <c r="AL88" s="2297"/>
      <c r="AM88" s="2297"/>
      <c r="AN88" s="2297"/>
      <c r="AO88" s="2297"/>
      <c r="AP88" s="2297"/>
      <c r="AQ88" s="2297"/>
      <c r="AR88" s="2297"/>
      <c r="AS88" s="2297"/>
      <c r="AT88" s="2297"/>
      <c r="AU88" s="2297"/>
      <c r="AV88" s="2297"/>
      <c r="AW88" s="2297"/>
      <c r="AX88" s="2297"/>
      <c r="AY88" s="2317" t="s">
        <v>554</v>
      </c>
      <c r="AZ88" s="2317"/>
      <c r="BA88" s="2317"/>
      <c r="BB88" s="2318"/>
      <c r="BC88" s="1207"/>
      <c r="BD88" s="1207"/>
      <c r="BE88" s="1213"/>
    </row>
    <row r="89" spans="1:57" ht="16.5" customHeight="1">
      <c r="A89" s="1207"/>
      <c r="B89" s="2316"/>
      <c r="C89" s="2305"/>
      <c r="D89" s="2305"/>
      <c r="E89" s="2305"/>
      <c r="F89" s="2305"/>
      <c r="G89" s="2305"/>
      <c r="H89" s="2305"/>
      <c r="I89" s="2305" t="s">
        <v>1896</v>
      </c>
      <c r="J89" s="2305"/>
      <c r="K89" s="2305"/>
      <c r="L89" s="2305"/>
      <c r="M89" s="2305"/>
      <c r="N89" s="2305"/>
      <c r="O89" s="2305" t="s">
        <v>1897</v>
      </c>
      <c r="P89" s="2305"/>
      <c r="Q89" s="2305"/>
      <c r="R89" s="2305"/>
      <c r="S89" s="2305"/>
      <c r="T89" s="2305"/>
      <c r="U89" s="2305"/>
      <c r="V89" s="2321" t="s">
        <v>2262</v>
      </c>
      <c r="W89" s="2321"/>
      <c r="X89" s="2321"/>
      <c r="Y89" s="2321"/>
      <c r="Z89" s="2321"/>
      <c r="AA89" s="2321"/>
      <c r="AB89" s="2272" t="s">
        <v>1898</v>
      </c>
      <c r="AC89" s="2272"/>
      <c r="AD89" s="2272"/>
      <c r="AE89" s="2272"/>
      <c r="AF89" s="2272"/>
      <c r="AG89" s="2272"/>
      <c r="AH89" s="2322"/>
      <c r="AI89" s="1207"/>
      <c r="AJ89" s="2299"/>
      <c r="AK89" s="2300"/>
      <c r="AL89" s="2300"/>
      <c r="AM89" s="2300"/>
      <c r="AN89" s="2300"/>
      <c r="AO89" s="2300"/>
      <c r="AP89" s="2300"/>
      <c r="AQ89" s="2300"/>
      <c r="AR89" s="2300"/>
      <c r="AS89" s="2300"/>
      <c r="AT89" s="2300"/>
      <c r="AU89" s="2300"/>
      <c r="AV89" s="2300"/>
      <c r="AW89" s="2300"/>
      <c r="AX89" s="2300"/>
      <c r="AY89" s="2319"/>
      <c r="AZ89" s="2319"/>
      <c r="BA89" s="2319"/>
      <c r="BB89" s="2320"/>
      <c r="BC89" s="1207"/>
      <c r="BD89" s="1207"/>
      <c r="BE89" s="1213"/>
    </row>
    <row r="90" spans="1:57" ht="16.5" customHeight="1">
      <c r="A90" s="1207"/>
      <c r="B90" s="2316"/>
      <c r="C90" s="2305"/>
      <c r="D90" s="2305"/>
      <c r="E90" s="2305"/>
      <c r="F90" s="2305"/>
      <c r="G90" s="2305"/>
      <c r="H90" s="2305"/>
      <c r="I90" s="2305"/>
      <c r="J90" s="2305"/>
      <c r="K90" s="2305"/>
      <c r="L90" s="2305"/>
      <c r="M90" s="2305"/>
      <c r="N90" s="2305"/>
      <c r="O90" s="2305"/>
      <c r="P90" s="2305"/>
      <c r="Q90" s="2305"/>
      <c r="R90" s="2305"/>
      <c r="S90" s="2305"/>
      <c r="T90" s="2305"/>
      <c r="U90" s="2305"/>
      <c r="V90" s="2321"/>
      <c r="W90" s="2321"/>
      <c r="X90" s="2321"/>
      <c r="Y90" s="2321"/>
      <c r="Z90" s="2321"/>
      <c r="AA90" s="2321"/>
      <c r="AB90" s="2272"/>
      <c r="AC90" s="2272"/>
      <c r="AD90" s="2272"/>
      <c r="AE90" s="2272"/>
      <c r="AF90" s="2272"/>
      <c r="AG90" s="2272"/>
      <c r="AH90" s="2322"/>
      <c r="AI90" s="1207"/>
      <c r="AJ90" s="2299"/>
      <c r="AK90" s="2300"/>
      <c r="AL90" s="2300"/>
      <c r="AM90" s="2300"/>
      <c r="AN90" s="2300"/>
      <c r="AO90" s="2300"/>
      <c r="AP90" s="2300"/>
      <c r="AQ90" s="2300"/>
      <c r="AR90" s="2300"/>
      <c r="AS90" s="2300"/>
      <c r="AT90" s="2300"/>
      <c r="AU90" s="2300"/>
      <c r="AV90" s="2300"/>
      <c r="AW90" s="2300"/>
      <c r="AX90" s="2300"/>
      <c r="AY90" s="2319"/>
      <c r="AZ90" s="2319"/>
      <c r="BA90" s="2319"/>
      <c r="BB90" s="2320"/>
      <c r="BC90" s="1207"/>
      <c r="BD90" s="1207"/>
      <c r="BE90" s="1213"/>
    </row>
    <row r="91" spans="1:57" ht="15.75" customHeight="1">
      <c r="A91" s="1207"/>
      <c r="B91" s="2316" t="s">
        <v>2245</v>
      </c>
      <c r="C91" s="2305"/>
      <c r="D91" s="2305"/>
      <c r="E91" s="2305"/>
      <c r="F91" s="2305"/>
      <c r="G91" s="2305"/>
      <c r="H91" s="2305"/>
      <c r="I91" s="2275">
        <v>0</v>
      </c>
      <c r="J91" s="2275"/>
      <c r="K91" s="2275"/>
      <c r="L91" s="2275"/>
      <c r="M91" s="2275"/>
      <c r="N91" s="2275"/>
      <c r="O91" s="2275">
        <v>0</v>
      </c>
      <c r="P91" s="2275"/>
      <c r="Q91" s="2275"/>
      <c r="R91" s="2275"/>
      <c r="S91" s="2275"/>
      <c r="T91" s="2275"/>
      <c r="U91" s="2275"/>
      <c r="V91" s="2275">
        <v>0</v>
      </c>
      <c r="W91" s="2275"/>
      <c r="X91" s="2275"/>
      <c r="Y91" s="2275"/>
      <c r="Z91" s="2275"/>
      <c r="AA91" s="2275"/>
      <c r="AB91" s="2275">
        <v>0</v>
      </c>
      <c r="AC91" s="2275"/>
      <c r="AD91" s="2275"/>
      <c r="AE91" s="2275"/>
      <c r="AF91" s="2275"/>
      <c r="AG91" s="2275"/>
      <c r="AH91" s="2276"/>
      <c r="AI91" s="1207"/>
      <c r="AJ91" s="2299"/>
      <c r="AK91" s="2300"/>
      <c r="AL91" s="2300"/>
      <c r="AM91" s="2300"/>
      <c r="AN91" s="2300"/>
      <c r="AO91" s="2300"/>
      <c r="AP91" s="2300"/>
      <c r="AQ91" s="2300"/>
      <c r="AR91" s="2300"/>
      <c r="AS91" s="2300"/>
      <c r="AT91" s="2300"/>
      <c r="AU91" s="2300"/>
      <c r="AV91" s="2300"/>
      <c r="AW91" s="2300"/>
      <c r="AX91" s="2300"/>
      <c r="AY91" s="2319"/>
      <c r="AZ91" s="2319"/>
      <c r="BA91" s="2319"/>
      <c r="BB91" s="2320"/>
      <c r="BC91" s="1207"/>
      <c r="BD91" s="1207"/>
      <c r="BE91" s="1213"/>
    </row>
    <row r="92" spans="1:57" ht="15.75" customHeight="1">
      <c r="A92" s="1207"/>
      <c r="B92" s="2316" t="s">
        <v>2246</v>
      </c>
      <c r="C92" s="2305"/>
      <c r="D92" s="2305"/>
      <c r="E92" s="2305"/>
      <c r="F92" s="2305"/>
      <c r="G92" s="2305"/>
      <c r="H92" s="2305"/>
      <c r="I92" s="2275">
        <v>0</v>
      </c>
      <c r="J92" s="2275"/>
      <c r="K92" s="2275"/>
      <c r="L92" s="2275"/>
      <c r="M92" s="2275"/>
      <c r="N92" s="2275"/>
      <c r="O92" s="2275">
        <v>0</v>
      </c>
      <c r="P92" s="2275"/>
      <c r="Q92" s="2275"/>
      <c r="R92" s="2275"/>
      <c r="S92" s="2275"/>
      <c r="T92" s="2275"/>
      <c r="U92" s="2275"/>
      <c r="V92" s="2275">
        <v>0</v>
      </c>
      <c r="W92" s="2275"/>
      <c r="X92" s="2275"/>
      <c r="Y92" s="2275"/>
      <c r="Z92" s="2275"/>
      <c r="AA92" s="2275"/>
      <c r="AB92" s="2275">
        <v>0</v>
      </c>
      <c r="AC92" s="2275"/>
      <c r="AD92" s="2275"/>
      <c r="AE92" s="2275"/>
      <c r="AF92" s="2275"/>
      <c r="AG92" s="2275"/>
      <c r="AH92" s="2276"/>
      <c r="AI92" s="1207"/>
      <c r="AJ92" s="2308" t="s">
        <v>2263</v>
      </c>
      <c r="AK92" s="2309"/>
      <c r="AL92" s="2309"/>
      <c r="AM92" s="2309"/>
      <c r="AN92" s="2309"/>
      <c r="AO92" s="2309"/>
      <c r="AP92" s="2309"/>
      <c r="AQ92" s="2309"/>
      <c r="AR92" s="2309"/>
      <c r="AS92" s="2309"/>
      <c r="AT92" s="2309"/>
      <c r="AU92" s="2309"/>
      <c r="AV92" s="2309"/>
      <c r="AW92" s="2309"/>
      <c r="AX92" s="2309"/>
      <c r="AY92" s="2309"/>
      <c r="AZ92" s="2309"/>
      <c r="BA92" s="2309"/>
      <c r="BB92" s="2310"/>
      <c r="BC92" s="1207"/>
      <c r="BD92" s="1207"/>
      <c r="BE92" s="1213"/>
    </row>
    <row r="93" spans="1:57" ht="15.75" customHeight="1" thickBot="1">
      <c r="A93" s="1207"/>
      <c r="B93" s="2314" t="s">
        <v>1899</v>
      </c>
      <c r="C93" s="2315"/>
      <c r="D93" s="2315"/>
      <c r="E93" s="2315"/>
      <c r="F93" s="2315"/>
      <c r="G93" s="2315"/>
      <c r="H93" s="2315"/>
      <c r="I93" s="2269">
        <v>0</v>
      </c>
      <c r="J93" s="2269"/>
      <c r="K93" s="2269"/>
      <c r="L93" s="2269"/>
      <c r="M93" s="2269"/>
      <c r="N93" s="2269"/>
      <c r="O93" s="2269">
        <v>0</v>
      </c>
      <c r="P93" s="2269"/>
      <c r="Q93" s="2269"/>
      <c r="R93" s="2269"/>
      <c r="S93" s="2269"/>
      <c r="T93" s="2269"/>
      <c r="U93" s="2269"/>
      <c r="V93" s="2269">
        <v>0</v>
      </c>
      <c r="W93" s="2269"/>
      <c r="X93" s="2269"/>
      <c r="Y93" s="2269"/>
      <c r="Z93" s="2269"/>
      <c r="AA93" s="2269"/>
      <c r="AB93" s="2269">
        <v>0</v>
      </c>
      <c r="AC93" s="2269"/>
      <c r="AD93" s="2269"/>
      <c r="AE93" s="2269"/>
      <c r="AF93" s="2269"/>
      <c r="AG93" s="2269"/>
      <c r="AH93" s="2270"/>
      <c r="AI93" s="1207"/>
      <c r="AJ93" s="2311"/>
      <c r="AK93" s="2312"/>
      <c r="AL93" s="2312"/>
      <c r="AM93" s="2312"/>
      <c r="AN93" s="2312"/>
      <c r="AO93" s="2312"/>
      <c r="AP93" s="2312"/>
      <c r="AQ93" s="2312"/>
      <c r="AR93" s="2312"/>
      <c r="AS93" s="2312"/>
      <c r="AT93" s="2312"/>
      <c r="AU93" s="2312"/>
      <c r="AV93" s="2312"/>
      <c r="AW93" s="2312"/>
      <c r="AX93" s="2312"/>
      <c r="AY93" s="2312"/>
      <c r="AZ93" s="2312"/>
      <c r="BA93" s="2312"/>
      <c r="BB93" s="231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6" t="s">
        <v>2247</v>
      </c>
      <c r="Y96" s="2297"/>
      <c r="Z96" s="2297"/>
      <c r="AA96" s="2297"/>
      <c r="AB96" s="2297"/>
      <c r="AC96" s="2297"/>
      <c r="AD96" s="2297"/>
      <c r="AE96" s="2297"/>
      <c r="AF96" s="2297"/>
      <c r="AG96" s="2297"/>
      <c r="AH96" s="2297"/>
      <c r="AI96" s="2297"/>
      <c r="AJ96" s="2297"/>
      <c r="AK96" s="2297"/>
      <c r="AL96" s="2297"/>
      <c r="AM96" s="2297"/>
      <c r="AN96" s="2297"/>
      <c r="AO96" s="2297"/>
      <c r="AP96" s="2297"/>
      <c r="AQ96" s="2297"/>
      <c r="AR96" s="2297"/>
      <c r="AS96" s="2297"/>
      <c r="AT96" s="2297"/>
      <c r="AU96" s="2297"/>
      <c r="AV96" s="2297"/>
      <c r="AW96" s="2297"/>
      <c r="AX96" s="2297"/>
      <c r="AY96" s="2297"/>
      <c r="AZ96" s="2297"/>
      <c r="BA96" s="2297"/>
      <c r="BB96" s="2297"/>
      <c r="BC96" s="2297"/>
      <c r="BD96" s="2298"/>
      <c r="BE96" s="1213"/>
    </row>
    <row r="97" spans="1:57" ht="15.75" customHeight="1">
      <c r="A97" s="1207"/>
      <c r="B97" s="2302" t="s">
        <v>1753</v>
      </c>
      <c r="C97" s="2303"/>
      <c r="D97" s="2303"/>
      <c r="E97" s="2303"/>
      <c r="F97" s="2303"/>
      <c r="G97" s="2303"/>
      <c r="H97" s="2303"/>
      <c r="I97" s="2303"/>
      <c r="J97" s="2303"/>
      <c r="K97" s="2303"/>
      <c r="L97" s="2303"/>
      <c r="M97" s="2303"/>
      <c r="N97" s="2303"/>
      <c r="O97" s="2303"/>
      <c r="P97" s="2303"/>
      <c r="Q97" s="2303"/>
      <c r="R97" s="2303"/>
      <c r="S97" s="2303"/>
      <c r="T97" s="2303"/>
      <c r="U97" s="2304"/>
      <c r="V97" s="1207"/>
      <c r="W97" s="1207"/>
      <c r="X97" s="2299"/>
      <c r="Y97" s="2300"/>
      <c r="Z97" s="2300"/>
      <c r="AA97" s="2300"/>
      <c r="AB97" s="2300"/>
      <c r="AC97" s="2300"/>
      <c r="AD97" s="2300"/>
      <c r="AE97" s="2300"/>
      <c r="AF97" s="2300"/>
      <c r="AG97" s="2300"/>
      <c r="AH97" s="2300"/>
      <c r="AI97" s="2300"/>
      <c r="AJ97" s="2300"/>
      <c r="AK97" s="2300"/>
      <c r="AL97" s="2300"/>
      <c r="AM97" s="2300"/>
      <c r="AN97" s="2300"/>
      <c r="AO97" s="2300"/>
      <c r="AP97" s="2300"/>
      <c r="AQ97" s="2300"/>
      <c r="AR97" s="2300"/>
      <c r="AS97" s="2300"/>
      <c r="AT97" s="2300"/>
      <c r="AU97" s="2300"/>
      <c r="AV97" s="2300"/>
      <c r="AW97" s="2300"/>
      <c r="AX97" s="2300"/>
      <c r="AY97" s="2300"/>
      <c r="AZ97" s="2300"/>
      <c r="BA97" s="2300"/>
      <c r="BB97" s="2300"/>
      <c r="BC97" s="2300"/>
      <c r="BD97" s="2301"/>
      <c r="BE97" s="1213"/>
    </row>
    <row r="98" spans="1:57" ht="15.75" customHeight="1">
      <c r="A98" s="1207"/>
      <c r="B98" s="2245"/>
      <c r="C98" s="2246"/>
      <c r="D98" s="2246"/>
      <c r="E98" s="2246"/>
      <c r="F98" s="2246"/>
      <c r="G98" s="2246"/>
      <c r="H98" s="2246"/>
      <c r="I98" s="2305" t="s">
        <v>2248</v>
      </c>
      <c r="J98" s="2305"/>
      <c r="K98" s="2305"/>
      <c r="L98" s="2305"/>
      <c r="M98" s="2305"/>
      <c r="N98" s="2305"/>
      <c r="O98" s="2306" t="s">
        <v>2249</v>
      </c>
      <c r="P98" s="2306"/>
      <c r="Q98" s="2306"/>
      <c r="R98" s="2306"/>
      <c r="S98" s="2306"/>
      <c r="T98" s="2306"/>
      <c r="U98" s="2307"/>
      <c r="V98" s="1207"/>
      <c r="W98" s="1207"/>
      <c r="X98" s="2248" t="s">
        <v>2261</v>
      </c>
      <c r="Y98" s="2249"/>
      <c r="Z98" s="2249"/>
      <c r="AA98" s="2249"/>
      <c r="AB98" s="2249"/>
      <c r="AC98" s="2249"/>
      <c r="AD98" s="2249"/>
      <c r="AE98" s="2249"/>
      <c r="AF98" s="2249"/>
      <c r="AG98" s="2249"/>
      <c r="AH98" s="2249"/>
      <c r="AI98" s="2249"/>
      <c r="AJ98" s="2249"/>
      <c r="AK98" s="2249"/>
      <c r="AL98" s="2249"/>
      <c r="AM98" s="2249"/>
      <c r="AN98" s="2249"/>
      <c r="AO98" s="2249"/>
      <c r="AP98" s="2249"/>
      <c r="AQ98" s="2249"/>
      <c r="AR98" s="2249"/>
      <c r="AS98" s="2249"/>
      <c r="AT98" s="2249"/>
      <c r="AU98" s="2249"/>
      <c r="AV98" s="2249"/>
      <c r="AW98" s="2249"/>
      <c r="AX98" s="2249"/>
      <c r="AY98" s="2249"/>
      <c r="AZ98" s="2249"/>
      <c r="BA98" s="2249"/>
      <c r="BB98" s="2249"/>
      <c r="BC98" s="2249"/>
      <c r="BD98" s="2250"/>
      <c r="BE98" s="1213"/>
    </row>
    <row r="99" spans="1:57" ht="15.75" customHeight="1">
      <c r="A99" s="1207"/>
      <c r="B99" s="2273" t="s">
        <v>2250</v>
      </c>
      <c r="C99" s="2274"/>
      <c r="D99" s="2274"/>
      <c r="E99" s="2274"/>
      <c r="F99" s="2274"/>
      <c r="G99" s="2274"/>
      <c r="H99" s="2274"/>
      <c r="I99" s="2275">
        <v>0</v>
      </c>
      <c r="J99" s="2275"/>
      <c r="K99" s="2275"/>
      <c r="L99" s="2275"/>
      <c r="M99" s="2275"/>
      <c r="N99" s="2275"/>
      <c r="O99" s="2275">
        <v>0</v>
      </c>
      <c r="P99" s="2275"/>
      <c r="Q99" s="2275"/>
      <c r="R99" s="2275"/>
      <c r="S99" s="2275"/>
      <c r="T99" s="2275"/>
      <c r="U99" s="2276"/>
      <c r="V99" s="1207"/>
      <c r="W99" s="1207"/>
      <c r="X99" s="2248"/>
      <c r="Y99" s="2249"/>
      <c r="Z99" s="2249"/>
      <c r="AA99" s="2249"/>
      <c r="AB99" s="2249"/>
      <c r="AC99" s="2249"/>
      <c r="AD99" s="2249"/>
      <c r="AE99" s="2249"/>
      <c r="AF99" s="2249"/>
      <c r="AG99" s="2249"/>
      <c r="AH99" s="2249"/>
      <c r="AI99" s="2249"/>
      <c r="AJ99" s="2249"/>
      <c r="AK99" s="2249"/>
      <c r="AL99" s="2249"/>
      <c r="AM99" s="2249"/>
      <c r="AN99" s="2249"/>
      <c r="AO99" s="2249"/>
      <c r="AP99" s="2249"/>
      <c r="AQ99" s="2249"/>
      <c r="AR99" s="2249"/>
      <c r="AS99" s="2249"/>
      <c r="AT99" s="2249"/>
      <c r="AU99" s="2249"/>
      <c r="AV99" s="2249"/>
      <c r="AW99" s="2249"/>
      <c r="AX99" s="2249"/>
      <c r="AY99" s="2249"/>
      <c r="AZ99" s="2249"/>
      <c r="BA99" s="2249"/>
      <c r="BB99" s="2249"/>
      <c r="BC99" s="2249"/>
      <c r="BD99" s="2250"/>
      <c r="BE99" s="1213"/>
    </row>
    <row r="100" spans="1:57" ht="15.75" customHeight="1" thickBot="1">
      <c r="A100" s="1207"/>
      <c r="B100" s="2267" t="s">
        <v>2251</v>
      </c>
      <c r="C100" s="2268"/>
      <c r="D100" s="2268"/>
      <c r="E100" s="2268"/>
      <c r="F100" s="2268"/>
      <c r="G100" s="2268"/>
      <c r="H100" s="2268"/>
      <c r="I100" s="2269">
        <v>0</v>
      </c>
      <c r="J100" s="2269"/>
      <c r="K100" s="2269"/>
      <c r="L100" s="2269"/>
      <c r="M100" s="2269"/>
      <c r="N100" s="2269"/>
      <c r="O100" s="2291"/>
      <c r="P100" s="2291"/>
      <c r="Q100" s="2291"/>
      <c r="R100" s="2291"/>
      <c r="S100" s="2291"/>
      <c r="T100" s="2291"/>
      <c r="U100" s="2292"/>
      <c r="V100" s="1207"/>
      <c r="W100" s="1207"/>
      <c r="X100" s="2248"/>
      <c r="Y100" s="2249"/>
      <c r="Z100" s="2249"/>
      <c r="AA100" s="2249"/>
      <c r="AB100" s="2249"/>
      <c r="AC100" s="2249"/>
      <c r="AD100" s="2249"/>
      <c r="AE100" s="2249"/>
      <c r="AF100" s="2249"/>
      <c r="AG100" s="2249"/>
      <c r="AH100" s="2249"/>
      <c r="AI100" s="2249"/>
      <c r="AJ100" s="2249"/>
      <c r="AK100" s="2249"/>
      <c r="AL100" s="2249"/>
      <c r="AM100" s="2249"/>
      <c r="AN100" s="2249"/>
      <c r="AO100" s="2249"/>
      <c r="AP100" s="2249"/>
      <c r="AQ100" s="2249"/>
      <c r="AR100" s="2249"/>
      <c r="AS100" s="2249"/>
      <c r="AT100" s="2249"/>
      <c r="AU100" s="2249"/>
      <c r="AV100" s="2249"/>
      <c r="AW100" s="2249"/>
      <c r="AX100" s="2249"/>
      <c r="AY100" s="2249"/>
      <c r="AZ100" s="2249"/>
      <c r="BA100" s="2249"/>
      <c r="BB100" s="2249"/>
      <c r="BC100" s="2249"/>
      <c r="BD100" s="225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48"/>
      <c r="Y101" s="2249"/>
      <c r="Z101" s="2249"/>
      <c r="AA101" s="2249"/>
      <c r="AB101" s="2249"/>
      <c r="AC101" s="2249"/>
      <c r="AD101" s="2249"/>
      <c r="AE101" s="2249"/>
      <c r="AF101" s="2249"/>
      <c r="AG101" s="2249"/>
      <c r="AH101" s="2249"/>
      <c r="AI101" s="2249"/>
      <c r="AJ101" s="2249"/>
      <c r="AK101" s="2249"/>
      <c r="AL101" s="2249"/>
      <c r="AM101" s="2249"/>
      <c r="AN101" s="2249"/>
      <c r="AO101" s="2249"/>
      <c r="AP101" s="2249"/>
      <c r="AQ101" s="2249"/>
      <c r="AR101" s="2249"/>
      <c r="AS101" s="2249"/>
      <c r="AT101" s="2249"/>
      <c r="AU101" s="2249"/>
      <c r="AV101" s="2249"/>
      <c r="AW101" s="2249"/>
      <c r="AX101" s="2249"/>
      <c r="AY101" s="2249"/>
      <c r="AZ101" s="2249"/>
      <c r="BA101" s="2249"/>
      <c r="BB101" s="2249"/>
      <c r="BC101" s="2249"/>
      <c r="BD101" s="2250"/>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48"/>
      <c r="Y102" s="2249"/>
      <c r="Z102" s="2249"/>
      <c r="AA102" s="2249"/>
      <c r="AB102" s="2249"/>
      <c r="AC102" s="2249"/>
      <c r="AD102" s="2249"/>
      <c r="AE102" s="2249"/>
      <c r="AF102" s="2249"/>
      <c r="AG102" s="2249"/>
      <c r="AH102" s="2249"/>
      <c r="AI102" s="2249"/>
      <c r="AJ102" s="2249"/>
      <c r="AK102" s="2249"/>
      <c r="AL102" s="2249"/>
      <c r="AM102" s="2249"/>
      <c r="AN102" s="2249"/>
      <c r="AO102" s="2249"/>
      <c r="AP102" s="2249"/>
      <c r="AQ102" s="2249"/>
      <c r="AR102" s="2249"/>
      <c r="AS102" s="2249"/>
      <c r="AT102" s="2249"/>
      <c r="AU102" s="2249"/>
      <c r="AV102" s="2249"/>
      <c r="AW102" s="2249"/>
      <c r="AX102" s="2249"/>
      <c r="AY102" s="2249"/>
      <c r="AZ102" s="2249"/>
      <c r="BA102" s="2249"/>
      <c r="BB102" s="2249"/>
      <c r="BC102" s="2249"/>
      <c r="BD102" s="225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48"/>
      <c r="Y103" s="2249"/>
      <c r="Z103" s="2249"/>
      <c r="AA103" s="2249"/>
      <c r="AB103" s="2249"/>
      <c r="AC103" s="2249"/>
      <c r="AD103" s="2249"/>
      <c r="AE103" s="2249"/>
      <c r="AF103" s="2249"/>
      <c r="AG103" s="2249"/>
      <c r="AH103" s="2249"/>
      <c r="AI103" s="2249"/>
      <c r="AJ103" s="2249"/>
      <c r="AK103" s="2249"/>
      <c r="AL103" s="2249"/>
      <c r="AM103" s="2249"/>
      <c r="AN103" s="2249"/>
      <c r="AO103" s="2249"/>
      <c r="AP103" s="2249"/>
      <c r="AQ103" s="2249"/>
      <c r="AR103" s="2249"/>
      <c r="AS103" s="2249"/>
      <c r="AT103" s="2249"/>
      <c r="AU103" s="2249"/>
      <c r="AV103" s="2249"/>
      <c r="AW103" s="2249"/>
      <c r="AX103" s="2249"/>
      <c r="AY103" s="2249"/>
      <c r="AZ103" s="2249"/>
      <c r="BA103" s="2249"/>
      <c r="BB103" s="2249"/>
      <c r="BC103" s="2249"/>
      <c r="BD103" s="2250"/>
      <c r="BE103" s="1213"/>
    </row>
    <row r="104" spans="1:57" ht="15.75" customHeight="1">
      <c r="A104" s="1207"/>
      <c r="B104" s="2293" t="s">
        <v>1904</v>
      </c>
      <c r="C104" s="2294"/>
      <c r="D104" s="2294"/>
      <c r="E104" s="2294"/>
      <c r="F104" s="2294"/>
      <c r="G104" s="2294"/>
      <c r="H104" s="2294"/>
      <c r="I104" s="2294"/>
      <c r="J104" s="2294"/>
      <c r="K104" s="2294"/>
      <c r="L104" s="2294"/>
      <c r="M104" s="2294"/>
      <c r="N104" s="2294"/>
      <c r="O104" s="2294"/>
      <c r="P104" s="2294"/>
      <c r="Q104" s="2294"/>
      <c r="R104" s="2294"/>
      <c r="S104" s="2294"/>
      <c r="T104" s="2294"/>
      <c r="U104" s="2295"/>
      <c r="V104" s="1207"/>
      <c r="W104" s="1207"/>
      <c r="X104" s="2248"/>
      <c r="Y104" s="2249"/>
      <c r="Z104" s="2249"/>
      <c r="AA104" s="2249"/>
      <c r="AB104" s="2249"/>
      <c r="AC104" s="2249"/>
      <c r="AD104" s="2249"/>
      <c r="AE104" s="2249"/>
      <c r="AF104" s="2249"/>
      <c r="AG104" s="2249"/>
      <c r="AH104" s="2249"/>
      <c r="AI104" s="2249"/>
      <c r="AJ104" s="2249"/>
      <c r="AK104" s="2249"/>
      <c r="AL104" s="2249"/>
      <c r="AM104" s="2249"/>
      <c r="AN104" s="2249"/>
      <c r="AO104" s="2249"/>
      <c r="AP104" s="2249"/>
      <c r="AQ104" s="2249"/>
      <c r="AR104" s="2249"/>
      <c r="AS104" s="2249"/>
      <c r="AT104" s="2249"/>
      <c r="AU104" s="2249"/>
      <c r="AV104" s="2249"/>
      <c r="AW104" s="2249"/>
      <c r="AX104" s="2249"/>
      <c r="AY104" s="2249"/>
      <c r="AZ104" s="2249"/>
      <c r="BA104" s="2249"/>
      <c r="BB104" s="2249"/>
      <c r="BC104" s="2249"/>
      <c r="BD104" s="2250"/>
      <c r="BE104" s="1213"/>
    </row>
    <row r="105" spans="1:57" ht="15.75" customHeight="1">
      <c r="A105" s="1207"/>
      <c r="B105" s="2245"/>
      <c r="C105" s="2246"/>
      <c r="D105" s="2246"/>
      <c r="E105" s="2246"/>
      <c r="F105" s="2246"/>
      <c r="G105" s="2246"/>
      <c r="H105" s="2246"/>
      <c r="I105" s="2277" t="s">
        <v>1897</v>
      </c>
      <c r="J105" s="2277"/>
      <c r="K105" s="2277"/>
      <c r="L105" s="2277"/>
      <c r="M105" s="2277"/>
      <c r="N105" s="2277"/>
      <c r="O105" s="2277"/>
      <c r="P105" s="2277" t="s">
        <v>2262</v>
      </c>
      <c r="Q105" s="2277"/>
      <c r="R105" s="2277"/>
      <c r="S105" s="2277"/>
      <c r="T105" s="2277"/>
      <c r="U105" s="2278"/>
      <c r="V105" s="1207"/>
      <c r="W105" s="1207"/>
      <c r="X105" s="2248"/>
      <c r="Y105" s="2249"/>
      <c r="Z105" s="2249"/>
      <c r="AA105" s="2249"/>
      <c r="AB105" s="2249"/>
      <c r="AC105" s="2249"/>
      <c r="AD105" s="2249"/>
      <c r="AE105" s="2249"/>
      <c r="AF105" s="2249"/>
      <c r="AG105" s="2249"/>
      <c r="AH105" s="2249"/>
      <c r="AI105" s="2249"/>
      <c r="AJ105" s="2249"/>
      <c r="AK105" s="2249"/>
      <c r="AL105" s="2249"/>
      <c r="AM105" s="2249"/>
      <c r="AN105" s="2249"/>
      <c r="AO105" s="2249"/>
      <c r="AP105" s="2249"/>
      <c r="AQ105" s="2249"/>
      <c r="AR105" s="2249"/>
      <c r="AS105" s="2249"/>
      <c r="AT105" s="2249"/>
      <c r="AU105" s="2249"/>
      <c r="AV105" s="2249"/>
      <c r="AW105" s="2249"/>
      <c r="AX105" s="2249"/>
      <c r="AY105" s="2249"/>
      <c r="AZ105" s="2249"/>
      <c r="BA105" s="2249"/>
      <c r="BB105" s="2249"/>
      <c r="BC105" s="2249"/>
      <c r="BD105" s="2250"/>
      <c r="BE105" s="1213"/>
    </row>
    <row r="106" spans="1:57" ht="15.75" customHeight="1">
      <c r="A106" s="1207"/>
      <c r="B106" s="2245"/>
      <c r="C106" s="2246"/>
      <c r="D106" s="2246"/>
      <c r="E106" s="2246"/>
      <c r="F106" s="2246"/>
      <c r="G106" s="2246"/>
      <c r="H106" s="2246"/>
      <c r="I106" s="2277"/>
      <c r="J106" s="2277"/>
      <c r="K106" s="2277"/>
      <c r="L106" s="2277"/>
      <c r="M106" s="2277"/>
      <c r="N106" s="2277"/>
      <c r="O106" s="2277"/>
      <c r="P106" s="2277"/>
      <c r="Q106" s="2277"/>
      <c r="R106" s="2277"/>
      <c r="S106" s="2277"/>
      <c r="T106" s="2277"/>
      <c r="U106" s="2278"/>
      <c r="V106" s="1207"/>
      <c r="W106" s="1207"/>
      <c r="X106" s="2248"/>
      <c r="Y106" s="2249"/>
      <c r="Z106" s="2249"/>
      <c r="AA106" s="2249"/>
      <c r="AB106" s="2249"/>
      <c r="AC106" s="2249"/>
      <c r="AD106" s="2249"/>
      <c r="AE106" s="2249"/>
      <c r="AF106" s="2249"/>
      <c r="AG106" s="2249"/>
      <c r="AH106" s="2249"/>
      <c r="AI106" s="2249"/>
      <c r="AJ106" s="2249"/>
      <c r="AK106" s="2249"/>
      <c r="AL106" s="2249"/>
      <c r="AM106" s="2249"/>
      <c r="AN106" s="2249"/>
      <c r="AO106" s="2249"/>
      <c r="AP106" s="2249"/>
      <c r="AQ106" s="2249"/>
      <c r="AR106" s="2249"/>
      <c r="AS106" s="2249"/>
      <c r="AT106" s="2249"/>
      <c r="AU106" s="2249"/>
      <c r="AV106" s="2249"/>
      <c r="AW106" s="2249"/>
      <c r="AX106" s="2249"/>
      <c r="AY106" s="2249"/>
      <c r="AZ106" s="2249"/>
      <c r="BA106" s="2249"/>
      <c r="BB106" s="2249"/>
      <c r="BC106" s="2249"/>
      <c r="BD106" s="2250"/>
      <c r="BE106" s="1213"/>
    </row>
    <row r="107" spans="1:57" ht="15.75" customHeight="1">
      <c r="A107" s="1207"/>
      <c r="B107" s="2273" t="s">
        <v>2250</v>
      </c>
      <c r="C107" s="2274"/>
      <c r="D107" s="2274"/>
      <c r="E107" s="2274"/>
      <c r="F107" s="2274"/>
      <c r="G107" s="2274"/>
      <c r="H107" s="2274"/>
      <c r="I107" s="2275">
        <v>0</v>
      </c>
      <c r="J107" s="2275"/>
      <c r="K107" s="2275"/>
      <c r="L107" s="2275"/>
      <c r="M107" s="2275"/>
      <c r="N107" s="2275"/>
      <c r="O107" s="2275"/>
      <c r="P107" s="2275">
        <v>0</v>
      </c>
      <c r="Q107" s="2275"/>
      <c r="R107" s="2275"/>
      <c r="S107" s="2275"/>
      <c r="T107" s="2275"/>
      <c r="U107" s="2276"/>
      <c r="V107" s="1207"/>
      <c r="W107" s="1207"/>
      <c r="X107" s="2248"/>
      <c r="Y107" s="2249"/>
      <c r="Z107" s="2249"/>
      <c r="AA107" s="2249"/>
      <c r="AB107" s="2249"/>
      <c r="AC107" s="2249"/>
      <c r="AD107" s="2249"/>
      <c r="AE107" s="2249"/>
      <c r="AF107" s="2249"/>
      <c r="AG107" s="2249"/>
      <c r="AH107" s="2249"/>
      <c r="AI107" s="2249"/>
      <c r="AJ107" s="2249"/>
      <c r="AK107" s="2249"/>
      <c r="AL107" s="2249"/>
      <c r="AM107" s="2249"/>
      <c r="AN107" s="2249"/>
      <c r="AO107" s="2249"/>
      <c r="AP107" s="2249"/>
      <c r="AQ107" s="2249"/>
      <c r="AR107" s="2249"/>
      <c r="AS107" s="2249"/>
      <c r="AT107" s="2249"/>
      <c r="AU107" s="2249"/>
      <c r="AV107" s="2249"/>
      <c r="AW107" s="2249"/>
      <c r="AX107" s="2249"/>
      <c r="AY107" s="2249"/>
      <c r="AZ107" s="2249"/>
      <c r="BA107" s="2249"/>
      <c r="BB107" s="2249"/>
      <c r="BC107" s="2249"/>
      <c r="BD107" s="2250"/>
      <c r="BE107" s="1213"/>
    </row>
    <row r="108" spans="1:57" ht="15.75" customHeight="1" thickBot="1">
      <c r="A108" s="1207"/>
      <c r="B108" s="2267" t="s">
        <v>2251</v>
      </c>
      <c r="C108" s="2268"/>
      <c r="D108" s="2268"/>
      <c r="E108" s="2268"/>
      <c r="F108" s="2268"/>
      <c r="G108" s="2268"/>
      <c r="H108" s="2268"/>
      <c r="I108" s="2269">
        <v>0</v>
      </c>
      <c r="J108" s="2269"/>
      <c r="K108" s="2269"/>
      <c r="L108" s="2269"/>
      <c r="M108" s="2269"/>
      <c r="N108" s="2269"/>
      <c r="O108" s="2269"/>
      <c r="P108" s="2269">
        <v>0</v>
      </c>
      <c r="Q108" s="2269"/>
      <c r="R108" s="2269"/>
      <c r="S108" s="2269"/>
      <c r="T108" s="2269"/>
      <c r="U108" s="2270"/>
      <c r="V108" s="1207"/>
      <c r="W108" s="1207"/>
      <c r="X108" s="2251"/>
      <c r="Y108" s="2252"/>
      <c r="Z108" s="2252"/>
      <c r="AA108" s="2252"/>
      <c r="AB108" s="2252"/>
      <c r="AC108" s="2252"/>
      <c r="AD108" s="2252"/>
      <c r="AE108" s="2252"/>
      <c r="AF108" s="2252"/>
      <c r="AG108" s="2252"/>
      <c r="AH108" s="2252"/>
      <c r="AI108" s="2252"/>
      <c r="AJ108" s="2252"/>
      <c r="AK108" s="2252"/>
      <c r="AL108" s="2252"/>
      <c r="AM108" s="2252"/>
      <c r="AN108" s="2252"/>
      <c r="AO108" s="2252"/>
      <c r="AP108" s="2252"/>
      <c r="AQ108" s="2252"/>
      <c r="AR108" s="2252"/>
      <c r="AS108" s="2252"/>
      <c r="AT108" s="2252"/>
      <c r="AU108" s="2252"/>
      <c r="AV108" s="2252"/>
      <c r="AW108" s="2252"/>
      <c r="AX108" s="2252"/>
      <c r="AY108" s="2252"/>
      <c r="AZ108" s="2252"/>
      <c r="BA108" s="2252"/>
      <c r="BB108" s="2252"/>
      <c r="BC108" s="2252"/>
      <c r="BD108" s="225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2" t="s">
        <v>1905</v>
      </c>
      <c r="C110" s="2243"/>
      <c r="D110" s="2243"/>
      <c r="E110" s="2243"/>
      <c r="F110" s="2243"/>
      <c r="G110" s="2243"/>
      <c r="H110" s="2243"/>
      <c r="I110" s="2243"/>
      <c r="J110" s="2243"/>
      <c r="K110" s="2243"/>
      <c r="L110" s="2243"/>
      <c r="M110" s="2243"/>
      <c r="N110" s="2243"/>
      <c r="O110" s="2243"/>
      <c r="P110" s="2243"/>
      <c r="Q110" s="2243"/>
      <c r="R110" s="2243"/>
      <c r="S110" s="2243"/>
      <c r="T110" s="2243"/>
      <c r="U110" s="2243"/>
      <c r="V110" s="2243"/>
      <c r="W110" s="2243"/>
      <c r="X110" s="2243"/>
      <c r="Y110" s="2243"/>
      <c r="Z110" s="2243"/>
      <c r="AA110" s="2243"/>
      <c r="AB110" s="2243"/>
      <c r="AC110" s="2243"/>
      <c r="AD110" s="2243"/>
      <c r="AE110" s="2243"/>
      <c r="AF110" s="2243"/>
      <c r="AG110" s="2243"/>
      <c r="AH110" s="2279" t="s">
        <v>554</v>
      </c>
      <c r="AI110" s="2279"/>
      <c r="AJ110" s="2279"/>
      <c r="AK110" s="2279"/>
      <c r="AL110" s="2279"/>
      <c r="AM110" s="2279"/>
      <c r="AN110" s="2279"/>
      <c r="AO110" s="2279"/>
      <c r="AP110" s="2279"/>
      <c r="AQ110" s="2279"/>
      <c r="AR110" s="2279"/>
      <c r="AS110" s="2279"/>
      <c r="AT110" s="2279"/>
      <c r="AU110" s="2279"/>
      <c r="AV110" s="2279"/>
      <c r="AW110" s="2279"/>
      <c r="AX110" s="2280"/>
      <c r="AY110" s="1207"/>
      <c r="AZ110" s="1207"/>
      <c r="BA110" s="1207"/>
      <c r="BB110" s="1207"/>
      <c r="BC110" s="1207"/>
      <c r="BD110" s="1207"/>
      <c r="BE110" s="1213"/>
    </row>
    <row r="111" spans="1:57" ht="15.75" customHeight="1">
      <c r="A111" s="1207"/>
      <c r="B111" s="2281" t="s">
        <v>1906</v>
      </c>
      <c r="C111" s="2282"/>
      <c r="D111" s="2282"/>
      <c r="E111" s="2282"/>
      <c r="F111" s="2282"/>
      <c r="G111" s="2282"/>
      <c r="H111" s="2282"/>
      <c r="I111" s="2282"/>
      <c r="J111" s="2282"/>
      <c r="K111" s="2282"/>
      <c r="L111" s="2282"/>
      <c r="M111" s="2282"/>
      <c r="N111" s="2282"/>
      <c r="O111" s="2282"/>
      <c r="P111" s="2282"/>
      <c r="Q111" s="2282"/>
      <c r="R111" s="2283" t="s">
        <v>2264</v>
      </c>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3"/>
      <c r="AP111" s="2283"/>
      <c r="AQ111" s="2283"/>
      <c r="AR111" s="2283"/>
      <c r="AS111" s="2283"/>
      <c r="AT111" s="2283"/>
      <c r="AU111" s="2283"/>
      <c r="AV111" s="2283"/>
      <c r="AW111" s="2283"/>
      <c r="AX111" s="2284"/>
      <c r="AY111" s="1207"/>
      <c r="AZ111" s="1207"/>
      <c r="BA111" s="1207"/>
      <c r="BB111" s="1207"/>
      <c r="BC111" s="1207" t="s">
        <v>251</v>
      </c>
      <c r="BD111" s="1207"/>
      <c r="BE111" s="1213"/>
    </row>
    <row r="112" spans="1:57" ht="15.75" customHeight="1">
      <c r="A112" s="1207"/>
      <c r="B112" s="2285" t="s">
        <v>2265</v>
      </c>
      <c r="C112" s="2286"/>
      <c r="D112" s="2286"/>
      <c r="E112" s="2286"/>
      <c r="F112" s="2286"/>
      <c r="G112" s="2286"/>
      <c r="H112" s="2286"/>
      <c r="I112" s="2286"/>
      <c r="J112" s="2286"/>
      <c r="K112" s="2286"/>
      <c r="L112" s="2286"/>
      <c r="M112" s="2286"/>
      <c r="N112" s="2286"/>
      <c r="O112" s="2286"/>
      <c r="P112" s="2286"/>
      <c r="Q112" s="2286"/>
      <c r="R112" s="2286"/>
      <c r="S112" s="2286"/>
      <c r="T112" s="2286"/>
      <c r="U112" s="2286"/>
      <c r="V112" s="2286"/>
      <c r="W112" s="2286"/>
      <c r="X112" s="2286"/>
      <c r="Y112" s="2286"/>
      <c r="Z112" s="2286"/>
      <c r="AA112" s="2286"/>
      <c r="AB112" s="2286"/>
      <c r="AC112" s="2286"/>
      <c r="AD112" s="2286"/>
      <c r="AE112" s="2286"/>
      <c r="AF112" s="2286"/>
      <c r="AG112" s="2286"/>
      <c r="AH112" s="2286"/>
      <c r="AI112" s="2286"/>
      <c r="AJ112" s="2286"/>
      <c r="AK112" s="2286"/>
      <c r="AL112" s="2286"/>
      <c r="AM112" s="2286"/>
      <c r="AN112" s="2286"/>
      <c r="AO112" s="2286"/>
      <c r="AP112" s="2286"/>
      <c r="AQ112" s="2286"/>
      <c r="AR112" s="2286"/>
      <c r="AS112" s="2286"/>
      <c r="AT112" s="2286"/>
      <c r="AU112" s="2286"/>
      <c r="AV112" s="2286"/>
      <c r="AW112" s="2286"/>
      <c r="AX112" s="2287"/>
      <c r="AY112" s="1207"/>
      <c r="AZ112" s="1207"/>
      <c r="BA112" s="1207"/>
      <c r="BB112" s="1207"/>
      <c r="BC112" s="1207"/>
      <c r="BD112" s="1207"/>
      <c r="BE112" s="1213"/>
    </row>
    <row r="113" spans="1:57" ht="15.75" customHeight="1">
      <c r="A113" s="1207"/>
      <c r="B113" s="2285"/>
      <c r="C113" s="2286"/>
      <c r="D113" s="2286"/>
      <c r="E113" s="2286"/>
      <c r="F113" s="2286"/>
      <c r="G113" s="2286"/>
      <c r="H113" s="2286"/>
      <c r="I113" s="2286"/>
      <c r="J113" s="2286"/>
      <c r="K113" s="2286"/>
      <c r="L113" s="2286"/>
      <c r="M113" s="2286"/>
      <c r="N113" s="2286"/>
      <c r="O113" s="2286"/>
      <c r="P113" s="2286"/>
      <c r="Q113" s="2286"/>
      <c r="R113" s="2286"/>
      <c r="S113" s="2286"/>
      <c r="T113" s="2286"/>
      <c r="U113" s="2286"/>
      <c r="V113" s="2286"/>
      <c r="W113" s="2286"/>
      <c r="X113" s="2286"/>
      <c r="Y113" s="2286"/>
      <c r="Z113" s="2286"/>
      <c r="AA113" s="2286"/>
      <c r="AB113" s="2286"/>
      <c r="AC113" s="2286"/>
      <c r="AD113" s="2286"/>
      <c r="AE113" s="2286"/>
      <c r="AF113" s="2286"/>
      <c r="AG113" s="2286"/>
      <c r="AH113" s="2286"/>
      <c r="AI113" s="2286"/>
      <c r="AJ113" s="2286"/>
      <c r="AK113" s="2286"/>
      <c r="AL113" s="2286"/>
      <c r="AM113" s="2286"/>
      <c r="AN113" s="2286"/>
      <c r="AO113" s="2286"/>
      <c r="AP113" s="2286"/>
      <c r="AQ113" s="2286"/>
      <c r="AR113" s="2286"/>
      <c r="AS113" s="2286"/>
      <c r="AT113" s="2286"/>
      <c r="AU113" s="2286"/>
      <c r="AV113" s="2286"/>
      <c r="AW113" s="2286"/>
      <c r="AX113" s="2287"/>
      <c r="AY113" s="1207"/>
      <c r="AZ113" s="1207"/>
      <c r="BA113" s="1207"/>
      <c r="BB113" s="1207"/>
      <c r="BC113" s="1207"/>
      <c r="BD113" s="1207"/>
      <c r="BE113" s="1213"/>
    </row>
    <row r="114" spans="1:57" ht="15.75" customHeight="1">
      <c r="A114" s="1207"/>
      <c r="B114" s="2285"/>
      <c r="C114" s="2286"/>
      <c r="D114" s="2286"/>
      <c r="E114" s="2286"/>
      <c r="F114" s="2286"/>
      <c r="G114" s="2286"/>
      <c r="H114" s="2286"/>
      <c r="I114" s="2286"/>
      <c r="J114" s="2286"/>
      <c r="K114" s="2286"/>
      <c r="L114" s="2286"/>
      <c r="M114" s="2286"/>
      <c r="N114" s="2286"/>
      <c r="O114" s="2286"/>
      <c r="P114" s="2286"/>
      <c r="Q114" s="2286"/>
      <c r="R114" s="2286"/>
      <c r="S114" s="2286"/>
      <c r="T114" s="2286"/>
      <c r="U114" s="2286"/>
      <c r="V114" s="2286"/>
      <c r="W114" s="2286"/>
      <c r="X114" s="2286"/>
      <c r="Y114" s="2286"/>
      <c r="Z114" s="2286"/>
      <c r="AA114" s="2286"/>
      <c r="AB114" s="2286"/>
      <c r="AC114" s="2286"/>
      <c r="AD114" s="2286"/>
      <c r="AE114" s="2286"/>
      <c r="AF114" s="2286"/>
      <c r="AG114" s="2286"/>
      <c r="AH114" s="2286"/>
      <c r="AI114" s="2286"/>
      <c r="AJ114" s="2286"/>
      <c r="AK114" s="2286"/>
      <c r="AL114" s="2286"/>
      <c r="AM114" s="2286"/>
      <c r="AN114" s="2286"/>
      <c r="AO114" s="2286"/>
      <c r="AP114" s="2286"/>
      <c r="AQ114" s="2286"/>
      <c r="AR114" s="2286"/>
      <c r="AS114" s="2286"/>
      <c r="AT114" s="2286"/>
      <c r="AU114" s="2286"/>
      <c r="AV114" s="2286"/>
      <c r="AW114" s="2286"/>
      <c r="AX114" s="2287"/>
      <c r="AY114" s="1207"/>
      <c r="AZ114" s="1207"/>
      <c r="BA114" s="1207"/>
      <c r="BB114" s="1207"/>
      <c r="BC114" s="1207"/>
      <c r="BD114" s="1207"/>
      <c r="BE114" s="1213"/>
    </row>
    <row r="115" spans="1:57" ht="15.75" customHeight="1">
      <c r="A115" s="1207"/>
      <c r="B115" s="2285"/>
      <c r="C115" s="2286"/>
      <c r="D115" s="2286"/>
      <c r="E115" s="2286"/>
      <c r="F115" s="2286"/>
      <c r="G115" s="2286"/>
      <c r="H115" s="2286"/>
      <c r="I115" s="2286"/>
      <c r="J115" s="2286"/>
      <c r="K115" s="2286"/>
      <c r="L115" s="2286"/>
      <c r="M115" s="2286"/>
      <c r="N115" s="2286"/>
      <c r="O115" s="2286"/>
      <c r="P115" s="2286"/>
      <c r="Q115" s="2286"/>
      <c r="R115" s="2286"/>
      <c r="S115" s="2286"/>
      <c r="T115" s="2286"/>
      <c r="U115" s="2286"/>
      <c r="V115" s="2286"/>
      <c r="W115" s="2286"/>
      <c r="X115" s="2286"/>
      <c r="Y115" s="2286"/>
      <c r="Z115" s="2286"/>
      <c r="AA115" s="2286"/>
      <c r="AB115" s="2286"/>
      <c r="AC115" s="2286"/>
      <c r="AD115" s="2286"/>
      <c r="AE115" s="2286"/>
      <c r="AF115" s="2286"/>
      <c r="AG115" s="2286"/>
      <c r="AH115" s="2286"/>
      <c r="AI115" s="2286"/>
      <c r="AJ115" s="2286"/>
      <c r="AK115" s="2286"/>
      <c r="AL115" s="2286"/>
      <c r="AM115" s="2286"/>
      <c r="AN115" s="2286"/>
      <c r="AO115" s="2286"/>
      <c r="AP115" s="2286"/>
      <c r="AQ115" s="2286"/>
      <c r="AR115" s="2286"/>
      <c r="AS115" s="2286"/>
      <c r="AT115" s="2286"/>
      <c r="AU115" s="2286"/>
      <c r="AV115" s="2286"/>
      <c r="AW115" s="2286"/>
      <c r="AX115" s="2287"/>
      <c r="AY115" s="1207"/>
      <c r="AZ115" s="1207"/>
      <c r="BA115" s="1207"/>
      <c r="BB115" s="1207"/>
      <c r="BC115" s="1207"/>
      <c r="BD115" s="1207"/>
      <c r="BE115" s="1213"/>
    </row>
    <row r="116" spans="1:57" ht="15.75" customHeight="1">
      <c r="A116" s="1207"/>
      <c r="B116" s="2285"/>
      <c r="C116" s="2286"/>
      <c r="D116" s="2286"/>
      <c r="E116" s="2286"/>
      <c r="F116" s="2286"/>
      <c r="G116" s="2286"/>
      <c r="H116" s="2286"/>
      <c r="I116" s="2286"/>
      <c r="J116" s="2286"/>
      <c r="K116" s="2286"/>
      <c r="L116" s="2286"/>
      <c r="M116" s="2286"/>
      <c r="N116" s="2286"/>
      <c r="O116" s="2286"/>
      <c r="P116" s="2286"/>
      <c r="Q116" s="2286"/>
      <c r="R116" s="2286"/>
      <c r="S116" s="2286"/>
      <c r="T116" s="2286"/>
      <c r="U116" s="2286"/>
      <c r="V116" s="2286"/>
      <c r="W116" s="2286"/>
      <c r="X116" s="2286"/>
      <c r="Y116" s="2286"/>
      <c r="Z116" s="2286"/>
      <c r="AA116" s="2286"/>
      <c r="AB116" s="2286"/>
      <c r="AC116" s="2286"/>
      <c r="AD116" s="2286"/>
      <c r="AE116" s="2286"/>
      <c r="AF116" s="2286"/>
      <c r="AG116" s="2286"/>
      <c r="AH116" s="2286"/>
      <c r="AI116" s="2286"/>
      <c r="AJ116" s="2286"/>
      <c r="AK116" s="2286"/>
      <c r="AL116" s="2286"/>
      <c r="AM116" s="2286"/>
      <c r="AN116" s="2286"/>
      <c r="AO116" s="2286"/>
      <c r="AP116" s="2286"/>
      <c r="AQ116" s="2286"/>
      <c r="AR116" s="2286"/>
      <c r="AS116" s="2286"/>
      <c r="AT116" s="2286"/>
      <c r="AU116" s="2286"/>
      <c r="AV116" s="2286"/>
      <c r="AW116" s="2286"/>
      <c r="AX116" s="2287"/>
      <c r="AY116" s="1207"/>
      <c r="AZ116" s="1207"/>
      <c r="BA116" s="1207"/>
      <c r="BB116" s="1207"/>
      <c r="BC116" s="1207"/>
      <c r="BD116" s="1207"/>
      <c r="BE116" s="1213"/>
    </row>
    <row r="117" spans="1:57" ht="15.75" customHeight="1">
      <c r="A117" s="1207"/>
      <c r="B117" s="2285"/>
      <c r="C117" s="2286"/>
      <c r="D117" s="2286"/>
      <c r="E117" s="2286"/>
      <c r="F117" s="2286"/>
      <c r="G117" s="2286"/>
      <c r="H117" s="2286"/>
      <c r="I117" s="2286"/>
      <c r="J117" s="2286"/>
      <c r="K117" s="2286"/>
      <c r="L117" s="2286"/>
      <c r="M117" s="2286"/>
      <c r="N117" s="2286"/>
      <c r="O117" s="2286"/>
      <c r="P117" s="2286"/>
      <c r="Q117" s="2286"/>
      <c r="R117" s="2286"/>
      <c r="S117" s="2286"/>
      <c r="T117" s="2286"/>
      <c r="U117" s="2286"/>
      <c r="V117" s="2286"/>
      <c r="W117" s="2286"/>
      <c r="X117" s="2286"/>
      <c r="Y117" s="2286"/>
      <c r="Z117" s="2286"/>
      <c r="AA117" s="2286"/>
      <c r="AB117" s="2286"/>
      <c r="AC117" s="2286"/>
      <c r="AD117" s="2286"/>
      <c r="AE117" s="2286"/>
      <c r="AF117" s="2286"/>
      <c r="AG117" s="2286"/>
      <c r="AH117" s="2286"/>
      <c r="AI117" s="2286"/>
      <c r="AJ117" s="2286"/>
      <c r="AK117" s="2286"/>
      <c r="AL117" s="2286"/>
      <c r="AM117" s="2286"/>
      <c r="AN117" s="2286"/>
      <c r="AO117" s="2286"/>
      <c r="AP117" s="2286"/>
      <c r="AQ117" s="2286"/>
      <c r="AR117" s="2286"/>
      <c r="AS117" s="2286"/>
      <c r="AT117" s="2286"/>
      <c r="AU117" s="2286"/>
      <c r="AV117" s="2286"/>
      <c r="AW117" s="2286"/>
      <c r="AX117" s="2287"/>
      <c r="AY117" s="1207"/>
      <c r="AZ117" s="1207"/>
      <c r="BA117" s="1207"/>
      <c r="BB117" s="1207"/>
      <c r="BC117" s="1207"/>
      <c r="BD117" s="1207"/>
      <c r="BE117" s="1213"/>
    </row>
    <row r="118" spans="1:57" ht="15.75" customHeight="1">
      <c r="A118" s="1207"/>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6"/>
      <c r="AP118" s="2286"/>
      <c r="AQ118" s="2286"/>
      <c r="AR118" s="2286"/>
      <c r="AS118" s="2286"/>
      <c r="AT118" s="2286"/>
      <c r="AU118" s="2286"/>
      <c r="AV118" s="2286"/>
      <c r="AW118" s="2286"/>
      <c r="AX118" s="2287"/>
      <c r="AY118" s="1207"/>
      <c r="AZ118" s="1207"/>
      <c r="BA118" s="1207"/>
      <c r="BB118" s="1207"/>
      <c r="BC118" s="1207"/>
      <c r="BD118" s="1207"/>
      <c r="BE118" s="1213"/>
    </row>
    <row r="119" spans="1:57" ht="15.75" customHeight="1">
      <c r="A119" s="1207"/>
      <c r="B119" s="2285"/>
      <c r="C119" s="2286"/>
      <c r="D119" s="2286"/>
      <c r="E119" s="2286"/>
      <c r="F119" s="2286"/>
      <c r="G119" s="2286"/>
      <c r="H119" s="2286"/>
      <c r="I119" s="2286"/>
      <c r="J119" s="2286"/>
      <c r="K119" s="2286"/>
      <c r="L119" s="2286"/>
      <c r="M119" s="2286"/>
      <c r="N119" s="2286"/>
      <c r="O119" s="2286"/>
      <c r="P119" s="2286"/>
      <c r="Q119" s="2286"/>
      <c r="R119" s="2286"/>
      <c r="S119" s="2286"/>
      <c r="T119" s="2286"/>
      <c r="U119" s="2286"/>
      <c r="V119" s="2286"/>
      <c r="W119" s="2286"/>
      <c r="X119" s="2286"/>
      <c r="Y119" s="2286"/>
      <c r="Z119" s="2286"/>
      <c r="AA119" s="2286"/>
      <c r="AB119" s="2286"/>
      <c r="AC119" s="2286"/>
      <c r="AD119" s="2286"/>
      <c r="AE119" s="2286"/>
      <c r="AF119" s="2286"/>
      <c r="AG119" s="2286"/>
      <c r="AH119" s="2286"/>
      <c r="AI119" s="2286"/>
      <c r="AJ119" s="2286"/>
      <c r="AK119" s="2286"/>
      <c r="AL119" s="2286"/>
      <c r="AM119" s="2286"/>
      <c r="AN119" s="2286"/>
      <c r="AO119" s="2286"/>
      <c r="AP119" s="2286"/>
      <c r="AQ119" s="2286"/>
      <c r="AR119" s="2286"/>
      <c r="AS119" s="2286"/>
      <c r="AT119" s="2286"/>
      <c r="AU119" s="2286"/>
      <c r="AV119" s="2286"/>
      <c r="AW119" s="2286"/>
      <c r="AX119" s="2287"/>
      <c r="AY119" s="1207"/>
      <c r="AZ119" s="1207"/>
      <c r="BA119" s="1207"/>
      <c r="BB119" s="1207"/>
      <c r="BC119" s="1207"/>
      <c r="BD119" s="1207"/>
      <c r="BE119" s="1213"/>
    </row>
    <row r="120" spans="1:57" ht="15.75" customHeight="1">
      <c r="A120" s="1207"/>
      <c r="B120" s="2285"/>
      <c r="C120" s="2286"/>
      <c r="D120" s="2286"/>
      <c r="E120" s="2286"/>
      <c r="F120" s="2286"/>
      <c r="G120" s="2286"/>
      <c r="H120" s="2286"/>
      <c r="I120" s="2286"/>
      <c r="J120" s="2286"/>
      <c r="K120" s="2286"/>
      <c r="L120" s="2286"/>
      <c r="M120" s="2286"/>
      <c r="N120" s="2286"/>
      <c r="O120" s="2286"/>
      <c r="P120" s="2286"/>
      <c r="Q120" s="2286"/>
      <c r="R120" s="2286"/>
      <c r="S120" s="2286"/>
      <c r="T120" s="2286"/>
      <c r="U120" s="2286"/>
      <c r="V120" s="2286"/>
      <c r="W120" s="2286"/>
      <c r="X120" s="2286"/>
      <c r="Y120" s="2286"/>
      <c r="Z120" s="2286"/>
      <c r="AA120" s="2286"/>
      <c r="AB120" s="2286"/>
      <c r="AC120" s="2286"/>
      <c r="AD120" s="2286"/>
      <c r="AE120" s="2286"/>
      <c r="AF120" s="2286"/>
      <c r="AG120" s="2286"/>
      <c r="AH120" s="2286"/>
      <c r="AI120" s="2286"/>
      <c r="AJ120" s="2286"/>
      <c r="AK120" s="2286"/>
      <c r="AL120" s="2286"/>
      <c r="AM120" s="2286"/>
      <c r="AN120" s="2286"/>
      <c r="AO120" s="2286"/>
      <c r="AP120" s="2286"/>
      <c r="AQ120" s="2286"/>
      <c r="AR120" s="2286"/>
      <c r="AS120" s="2286"/>
      <c r="AT120" s="2286"/>
      <c r="AU120" s="2286"/>
      <c r="AV120" s="2286"/>
      <c r="AW120" s="2286"/>
      <c r="AX120" s="2287"/>
      <c r="AY120" s="1207"/>
      <c r="AZ120" s="1207"/>
      <c r="BA120" s="1207"/>
      <c r="BB120" s="1207"/>
      <c r="BC120" s="1207"/>
      <c r="BD120" s="1207"/>
      <c r="BE120" s="1213"/>
    </row>
    <row r="121" spans="1:57" ht="15.75" customHeight="1" thickBot="1">
      <c r="A121" s="1207"/>
      <c r="B121" s="2288"/>
      <c r="C121" s="2289"/>
      <c r="D121" s="2289"/>
      <c r="E121" s="2289"/>
      <c r="F121" s="2289"/>
      <c r="G121" s="2289"/>
      <c r="H121" s="2289"/>
      <c r="I121" s="2289"/>
      <c r="J121" s="2289"/>
      <c r="K121" s="2289"/>
      <c r="L121" s="2289"/>
      <c r="M121" s="2289"/>
      <c r="N121" s="2289"/>
      <c r="O121" s="2289"/>
      <c r="P121" s="2289"/>
      <c r="Q121" s="2289"/>
      <c r="R121" s="2289"/>
      <c r="S121" s="2289"/>
      <c r="T121" s="2289"/>
      <c r="U121" s="2289"/>
      <c r="V121" s="2289"/>
      <c r="W121" s="2289"/>
      <c r="X121" s="2289"/>
      <c r="Y121" s="2289"/>
      <c r="Z121" s="2289"/>
      <c r="AA121" s="2289"/>
      <c r="AB121" s="2289"/>
      <c r="AC121" s="2289"/>
      <c r="AD121" s="2289"/>
      <c r="AE121" s="2289"/>
      <c r="AF121" s="2289"/>
      <c r="AG121" s="2289"/>
      <c r="AH121" s="2289"/>
      <c r="AI121" s="2289"/>
      <c r="AJ121" s="2289"/>
      <c r="AK121" s="2289"/>
      <c r="AL121" s="2289"/>
      <c r="AM121" s="2289"/>
      <c r="AN121" s="2289"/>
      <c r="AO121" s="2289"/>
      <c r="AP121" s="2289"/>
      <c r="AQ121" s="2289"/>
      <c r="AR121" s="2289"/>
      <c r="AS121" s="2289"/>
      <c r="AT121" s="2289"/>
      <c r="AU121" s="2289"/>
      <c r="AV121" s="2289"/>
      <c r="AW121" s="2289"/>
      <c r="AX121" s="229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1" t="s">
        <v>1908</v>
      </c>
      <c r="C125" s="2237"/>
      <c r="D125" s="2237"/>
      <c r="E125" s="2237"/>
      <c r="F125" s="2237"/>
      <c r="G125" s="2237"/>
      <c r="H125" s="2237"/>
      <c r="I125" s="2237"/>
      <c r="J125" s="2237"/>
      <c r="K125" s="2237"/>
      <c r="L125" s="2237"/>
      <c r="M125" s="2237"/>
      <c r="N125" s="2237"/>
      <c r="O125" s="2237"/>
      <c r="P125" s="2237"/>
      <c r="Q125" s="2237"/>
      <c r="R125" s="2237"/>
      <c r="S125" s="2237"/>
      <c r="T125" s="2237"/>
      <c r="U125" s="2238"/>
      <c r="V125" s="1207"/>
      <c r="W125" s="1209"/>
      <c r="X125" s="2271" t="s">
        <v>2267</v>
      </c>
      <c r="Y125" s="2237"/>
      <c r="Z125" s="2237"/>
      <c r="AA125" s="2237"/>
      <c r="AB125" s="2237"/>
      <c r="AC125" s="2237"/>
      <c r="AD125" s="2237"/>
      <c r="AE125" s="2237"/>
      <c r="AF125" s="2237"/>
      <c r="AG125" s="2237"/>
      <c r="AH125" s="2237"/>
      <c r="AI125" s="2237"/>
      <c r="AJ125" s="2237"/>
      <c r="AK125" s="2237"/>
      <c r="AL125" s="2237"/>
      <c r="AM125" s="2237"/>
      <c r="AN125" s="2237"/>
      <c r="AO125" s="2237"/>
      <c r="AP125" s="2237"/>
      <c r="AQ125" s="2238"/>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5"/>
      <c r="C126" s="2246"/>
      <c r="D126" s="2246"/>
      <c r="E126" s="2246"/>
      <c r="F126" s="2246"/>
      <c r="G126" s="2246"/>
      <c r="H126" s="2246"/>
      <c r="I126" s="2277" t="s">
        <v>1897</v>
      </c>
      <c r="J126" s="2277"/>
      <c r="K126" s="2277"/>
      <c r="L126" s="2277"/>
      <c r="M126" s="2277"/>
      <c r="N126" s="2277"/>
      <c r="O126" s="2277"/>
      <c r="P126" s="2277" t="s">
        <v>2268</v>
      </c>
      <c r="Q126" s="2277"/>
      <c r="R126" s="2277"/>
      <c r="S126" s="2277"/>
      <c r="T126" s="2277"/>
      <c r="U126" s="2278"/>
      <c r="V126" s="1207"/>
      <c r="W126" s="1207"/>
      <c r="X126" s="2245"/>
      <c r="Y126" s="2246"/>
      <c r="Z126" s="2246"/>
      <c r="AA126" s="2246"/>
      <c r="AB126" s="2246"/>
      <c r="AC126" s="2246"/>
      <c r="AD126" s="2246"/>
      <c r="AE126" s="2277" t="s">
        <v>1897</v>
      </c>
      <c r="AF126" s="2277"/>
      <c r="AG126" s="2277"/>
      <c r="AH126" s="2277"/>
      <c r="AI126" s="2277"/>
      <c r="AJ126" s="2277"/>
      <c r="AK126" s="2277"/>
      <c r="AL126" s="2277" t="s">
        <v>2262</v>
      </c>
      <c r="AM126" s="2277"/>
      <c r="AN126" s="2277"/>
      <c r="AO126" s="2277"/>
      <c r="AP126" s="2277"/>
      <c r="AQ126" s="2278"/>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5"/>
      <c r="C127" s="2246"/>
      <c r="D127" s="2246"/>
      <c r="E127" s="2246"/>
      <c r="F127" s="2246"/>
      <c r="G127" s="2246"/>
      <c r="H127" s="2246"/>
      <c r="I127" s="2277"/>
      <c r="J127" s="2277"/>
      <c r="K127" s="2277"/>
      <c r="L127" s="2277"/>
      <c r="M127" s="2277"/>
      <c r="N127" s="2277"/>
      <c r="O127" s="2277"/>
      <c r="P127" s="2277"/>
      <c r="Q127" s="2277"/>
      <c r="R127" s="2277"/>
      <c r="S127" s="2277"/>
      <c r="T127" s="2277"/>
      <c r="U127" s="2278"/>
      <c r="V127" s="1207"/>
      <c r="W127" s="1207"/>
      <c r="X127" s="2245"/>
      <c r="Y127" s="2246"/>
      <c r="Z127" s="2246"/>
      <c r="AA127" s="2246"/>
      <c r="AB127" s="2246"/>
      <c r="AC127" s="2246"/>
      <c r="AD127" s="2246"/>
      <c r="AE127" s="2277"/>
      <c r="AF127" s="2277"/>
      <c r="AG127" s="2277"/>
      <c r="AH127" s="2277"/>
      <c r="AI127" s="2277"/>
      <c r="AJ127" s="2277"/>
      <c r="AK127" s="2277"/>
      <c r="AL127" s="2277"/>
      <c r="AM127" s="2277"/>
      <c r="AN127" s="2277"/>
      <c r="AO127" s="2277"/>
      <c r="AP127" s="2277"/>
      <c r="AQ127" s="227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3" t="s">
        <v>2250</v>
      </c>
      <c r="C128" s="2274"/>
      <c r="D128" s="2274"/>
      <c r="E128" s="2274"/>
      <c r="F128" s="2274"/>
      <c r="G128" s="2274"/>
      <c r="H128" s="2274"/>
      <c r="I128" s="2275">
        <v>0</v>
      </c>
      <c r="J128" s="2275"/>
      <c r="K128" s="2275"/>
      <c r="L128" s="2275"/>
      <c r="M128" s="2275"/>
      <c r="N128" s="2275"/>
      <c r="O128" s="2275"/>
      <c r="P128" s="2275">
        <v>0</v>
      </c>
      <c r="Q128" s="2275"/>
      <c r="R128" s="2275"/>
      <c r="S128" s="2275"/>
      <c r="T128" s="2275"/>
      <c r="U128" s="2276"/>
      <c r="V128" s="1207"/>
      <c r="W128" s="1207"/>
      <c r="X128" s="2267" t="s">
        <v>2250</v>
      </c>
      <c r="Y128" s="2268"/>
      <c r="Z128" s="2268"/>
      <c r="AA128" s="2268"/>
      <c r="AB128" s="2268"/>
      <c r="AC128" s="2268"/>
      <c r="AD128" s="2268"/>
      <c r="AE128" s="2269">
        <v>0</v>
      </c>
      <c r="AF128" s="2269"/>
      <c r="AG128" s="2269"/>
      <c r="AH128" s="2269"/>
      <c r="AI128" s="2269"/>
      <c r="AJ128" s="2269"/>
      <c r="AK128" s="2269"/>
      <c r="AL128" s="2269">
        <v>0</v>
      </c>
      <c r="AM128" s="2269"/>
      <c r="AN128" s="2269"/>
      <c r="AO128" s="2269"/>
      <c r="AP128" s="2269"/>
      <c r="AQ128" s="227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7" t="s">
        <v>2251</v>
      </c>
      <c r="C129" s="2268"/>
      <c r="D129" s="2268"/>
      <c r="E129" s="2268"/>
      <c r="F129" s="2268"/>
      <c r="G129" s="2268"/>
      <c r="H129" s="2268"/>
      <c r="I129" s="2269">
        <v>0</v>
      </c>
      <c r="J129" s="2269"/>
      <c r="K129" s="2269"/>
      <c r="L129" s="2269"/>
      <c r="M129" s="2269"/>
      <c r="N129" s="2269"/>
      <c r="O129" s="2269"/>
      <c r="P129" s="2269">
        <v>0</v>
      </c>
      <c r="Q129" s="2269"/>
      <c r="R129" s="2269"/>
      <c r="S129" s="2269"/>
      <c r="T129" s="2269"/>
      <c r="U129" s="227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1" t="s">
        <v>2252</v>
      </c>
      <c r="D131" s="2237"/>
      <c r="E131" s="2237"/>
      <c r="F131" s="2237"/>
      <c r="G131" s="2237"/>
      <c r="H131" s="2237"/>
      <c r="I131" s="2237"/>
      <c r="J131" s="2237"/>
      <c r="K131" s="2237"/>
      <c r="L131" s="2237"/>
      <c r="M131" s="2237"/>
      <c r="N131" s="2237"/>
      <c r="O131" s="2237"/>
      <c r="P131" s="2237"/>
      <c r="Q131" s="2237"/>
      <c r="R131" s="2237"/>
      <c r="S131" s="2237"/>
      <c r="T131" s="2237"/>
      <c r="U131" s="2237"/>
      <c r="V131" s="2237"/>
      <c r="W131" s="2237"/>
      <c r="X131" s="2237"/>
      <c r="Y131" s="2237"/>
      <c r="Z131" s="2237"/>
      <c r="AA131" s="2237"/>
      <c r="AB131" s="2237"/>
      <c r="AC131" s="2237"/>
      <c r="AD131" s="2237"/>
      <c r="AE131" s="2237"/>
      <c r="AF131" s="2237"/>
      <c r="AG131" s="223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5" t="s">
        <v>1909</v>
      </c>
      <c r="D132" s="2246"/>
      <c r="E132" s="2246"/>
      <c r="F132" s="2246"/>
      <c r="G132" s="2246"/>
      <c r="H132" s="2246"/>
      <c r="I132" s="2246"/>
      <c r="J132" s="2246"/>
      <c r="K132" s="2246"/>
      <c r="L132" s="2246"/>
      <c r="M132" s="2246"/>
      <c r="N132" s="2246"/>
      <c r="O132" s="2246"/>
      <c r="P132" s="2246"/>
      <c r="Q132" s="2246" t="s">
        <v>1910</v>
      </c>
      <c r="R132" s="2246"/>
      <c r="S132" s="2246"/>
      <c r="T132" s="2272" t="s">
        <v>2253</v>
      </c>
      <c r="U132" s="2272"/>
      <c r="V132" s="2272"/>
      <c r="W132" s="2272"/>
      <c r="X132" s="2272"/>
      <c r="Y132" s="2272"/>
      <c r="Z132" s="2272"/>
      <c r="AA132" s="2272"/>
      <c r="AB132" s="2246" t="s">
        <v>1911</v>
      </c>
      <c r="AC132" s="2246"/>
      <c r="AD132" s="2246"/>
      <c r="AE132" s="2246"/>
      <c r="AF132" s="2246"/>
      <c r="AG132" s="224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4" t="s">
        <v>1912</v>
      </c>
      <c r="D133" s="2255"/>
      <c r="E133" s="2255"/>
      <c r="F133" s="2255"/>
      <c r="G133" s="2255"/>
      <c r="H133" s="2255"/>
      <c r="I133" s="2255"/>
      <c r="J133" s="2255"/>
      <c r="K133" s="2255"/>
      <c r="L133" s="2255"/>
      <c r="M133" s="2255"/>
      <c r="N133" s="2255"/>
      <c r="O133" s="2255"/>
      <c r="P133" s="2255"/>
      <c r="Q133" s="2202">
        <v>55</v>
      </c>
      <c r="R133" s="2202"/>
      <c r="S133" s="2202"/>
      <c r="T133" s="2239"/>
      <c r="U133" s="2239"/>
      <c r="V133" s="2239"/>
      <c r="W133" s="2239"/>
      <c r="X133" s="2239"/>
      <c r="Y133" s="2239"/>
      <c r="Z133" s="2239"/>
      <c r="AA133" s="2239"/>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4" t="s">
        <v>1913</v>
      </c>
      <c r="D134" s="2255"/>
      <c r="E134" s="2255"/>
      <c r="F134" s="2255"/>
      <c r="G134" s="2255"/>
      <c r="H134" s="2255"/>
      <c r="I134" s="2255"/>
      <c r="J134" s="2255"/>
      <c r="K134" s="2255"/>
      <c r="L134" s="2255"/>
      <c r="M134" s="2255"/>
      <c r="N134" s="2255"/>
      <c r="O134" s="2255"/>
      <c r="P134" s="2255"/>
      <c r="Q134" s="2202">
        <v>55</v>
      </c>
      <c r="R134" s="2202"/>
      <c r="S134" s="2202"/>
      <c r="T134" s="2257"/>
      <c r="U134" s="2257"/>
      <c r="V134" s="2257"/>
      <c r="W134" s="2257"/>
      <c r="X134" s="2257"/>
      <c r="Y134" s="2257"/>
      <c r="Z134" s="2257"/>
      <c r="AA134" s="225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4" t="s">
        <v>1914</v>
      </c>
      <c r="D135" s="2255"/>
      <c r="E135" s="2255"/>
      <c r="F135" s="2255"/>
      <c r="G135" s="2255"/>
      <c r="H135" s="2255"/>
      <c r="I135" s="2255"/>
      <c r="J135" s="2255"/>
      <c r="K135" s="2255"/>
      <c r="L135" s="2255"/>
      <c r="M135" s="2255"/>
      <c r="N135" s="2255"/>
      <c r="O135" s="2255"/>
      <c r="P135" s="2255"/>
      <c r="Q135" s="2202">
        <v>55</v>
      </c>
      <c r="R135" s="2202"/>
      <c r="S135" s="2202"/>
      <c r="T135" s="2239"/>
      <c r="U135" s="2239"/>
      <c r="V135" s="2239"/>
      <c r="W135" s="2239"/>
      <c r="X135" s="2239"/>
      <c r="Y135" s="2239"/>
      <c r="Z135" s="2239"/>
      <c r="AA135" s="223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4" t="s">
        <v>1882</v>
      </c>
      <c r="D136" s="2255"/>
      <c r="E136" s="2255"/>
      <c r="F136" s="2255"/>
      <c r="G136" s="2255"/>
      <c r="H136" s="2255"/>
      <c r="I136" s="2255"/>
      <c r="J136" s="2255"/>
      <c r="K136" s="2255"/>
      <c r="L136" s="2255"/>
      <c r="M136" s="2255"/>
      <c r="N136" s="2255"/>
      <c r="O136" s="2255"/>
      <c r="P136" s="2255"/>
      <c r="Q136" s="2202">
        <v>55</v>
      </c>
      <c r="R136" s="2202"/>
      <c r="S136" s="2202"/>
      <c r="T136" s="2239"/>
      <c r="U136" s="2239"/>
      <c r="V136" s="2239"/>
      <c r="W136" s="2239"/>
      <c r="X136" s="2239"/>
      <c r="Y136" s="2239"/>
      <c r="Z136" s="2239"/>
      <c r="AA136" s="2239"/>
      <c r="AB136" s="2258">
        <v>0</v>
      </c>
      <c r="AC136" s="2258"/>
      <c r="AD136" s="2258"/>
      <c r="AE136" s="2258"/>
      <c r="AF136" s="2258"/>
      <c r="AG136" s="225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4" t="s">
        <v>170</v>
      </c>
      <c r="D137" s="2255"/>
      <c r="E137" s="2255"/>
      <c r="F137" s="2256" t="s">
        <v>1915</v>
      </c>
      <c r="G137" s="2256"/>
      <c r="H137" s="2256"/>
      <c r="I137" s="2256"/>
      <c r="J137" s="2256"/>
      <c r="K137" s="2256"/>
      <c r="L137" s="2256"/>
      <c r="M137" s="2256"/>
      <c r="N137" s="2256"/>
      <c r="O137" s="2256"/>
      <c r="P137" s="2256"/>
      <c r="Q137" s="2202">
        <v>55</v>
      </c>
      <c r="R137" s="2202"/>
      <c r="S137" s="2202"/>
      <c r="T137" s="2257"/>
      <c r="U137" s="2257"/>
      <c r="V137" s="2257"/>
      <c r="W137" s="2257"/>
      <c r="X137" s="2257"/>
      <c r="Y137" s="2257"/>
      <c r="Z137" s="2257"/>
      <c r="AA137" s="2257"/>
      <c r="AB137" s="2258">
        <v>0</v>
      </c>
      <c r="AC137" s="2258"/>
      <c r="AD137" s="2258"/>
      <c r="AE137" s="2258"/>
      <c r="AF137" s="2258"/>
      <c r="AG137" s="225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4" t="s">
        <v>170</v>
      </c>
      <c r="D138" s="2255"/>
      <c r="E138" s="2255"/>
      <c r="F138" s="2256" t="s">
        <v>1915</v>
      </c>
      <c r="G138" s="2256"/>
      <c r="H138" s="2256"/>
      <c r="I138" s="2256"/>
      <c r="J138" s="2256"/>
      <c r="K138" s="2256"/>
      <c r="L138" s="2256"/>
      <c r="M138" s="2256"/>
      <c r="N138" s="2256"/>
      <c r="O138" s="2256"/>
      <c r="P138" s="2256"/>
      <c r="Q138" s="2202">
        <v>55</v>
      </c>
      <c r="R138" s="2202"/>
      <c r="S138" s="2202"/>
      <c r="T138" s="2257"/>
      <c r="U138" s="2257"/>
      <c r="V138" s="2257"/>
      <c r="W138" s="2257"/>
      <c r="X138" s="2257"/>
      <c r="Y138" s="2257"/>
      <c r="Z138" s="2257"/>
      <c r="AA138" s="2257"/>
      <c r="AB138" s="2258">
        <v>0</v>
      </c>
      <c r="AC138" s="2258"/>
      <c r="AD138" s="2258"/>
      <c r="AE138" s="2258"/>
      <c r="AF138" s="2258"/>
      <c r="AG138" s="2259"/>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0" t="s">
        <v>170</v>
      </c>
      <c r="D139" s="2261"/>
      <c r="E139" s="2261"/>
      <c r="F139" s="2262" t="s">
        <v>1915</v>
      </c>
      <c r="G139" s="2262"/>
      <c r="H139" s="2262"/>
      <c r="I139" s="2262"/>
      <c r="J139" s="2262"/>
      <c r="K139" s="2262"/>
      <c r="L139" s="2262"/>
      <c r="M139" s="2262"/>
      <c r="N139" s="2262"/>
      <c r="O139" s="2262"/>
      <c r="P139" s="2262"/>
      <c r="Q139" s="2263">
        <v>55</v>
      </c>
      <c r="R139" s="2263"/>
      <c r="S139" s="2263"/>
      <c r="T139" s="2264"/>
      <c r="U139" s="2264"/>
      <c r="V139" s="2264"/>
      <c r="W139" s="2264"/>
      <c r="X139" s="2264"/>
      <c r="Y139" s="2264"/>
      <c r="Z139" s="2264"/>
      <c r="AA139" s="2264"/>
      <c r="AB139" s="2265">
        <v>0</v>
      </c>
      <c r="AC139" s="2265"/>
      <c r="AD139" s="2265"/>
      <c r="AE139" s="2265"/>
      <c r="AF139" s="2265"/>
      <c r="AG139" s="226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5" t="s">
        <v>1916</v>
      </c>
      <c r="D141" s="2236"/>
      <c r="E141" s="2236"/>
      <c r="F141" s="2236"/>
      <c r="G141" s="2236"/>
      <c r="H141" s="2236"/>
      <c r="I141" s="2236"/>
      <c r="J141" s="2236"/>
      <c r="K141" s="2236"/>
      <c r="L141" s="2236"/>
      <c r="M141" s="2236"/>
      <c r="N141" s="2241"/>
      <c r="O141" s="1207"/>
      <c r="P141" s="2242" t="s">
        <v>1917</v>
      </c>
      <c r="Q141" s="2243"/>
      <c r="R141" s="2243"/>
      <c r="S141" s="2243"/>
      <c r="T141" s="2243"/>
      <c r="U141" s="2243"/>
      <c r="V141" s="2243"/>
      <c r="W141" s="2243"/>
      <c r="X141" s="2243"/>
      <c r="Y141" s="2243"/>
      <c r="Z141" s="2243"/>
      <c r="AA141" s="2243"/>
      <c r="AB141" s="2243"/>
      <c r="AC141" s="2243"/>
      <c r="AD141" s="2243"/>
      <c r="AE141" s="2243"/>
      <c r="AF141" s="2243"/>
      <c r="AG141" s="2243"/>
      <c r="AH141" s="2243"/>
      <c r="AI141" s="2243"/>
      <c r="AJ141" s="2243"/>
      <c r="AK141" s="2243"/>
      <c r="AL141" s="2243"/>
      <c r="AM141" s="2243"/>
      <c r="AN141" s="2243"/>
      <c r="AO141" s="224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5" t="s">
        <v>1918</v>
      </c>
      <c r="D142" s="2246"/>
      <c r="E142" s="2246"/>
      <c r="F142" s="2246"/>
      <c r="G142" s="2246"/>
      <c r="H142" s="2246"/>
      <c r="I142" s="2246" t="s">
        <v>1919</v>
      </c>
      <c r="J142" s="2246"/>
      <c r="K142" s="2246"/>
      <c r="L142" s="2246"/>
      <c r="M142" s="2246"/>
      <c r="N142" s="2247"/>
      <c r="O142" s="1207"/>
      <c r="P142" s="2248" t="s">
        <v>2261</v>
      </c>
      <c r="Q142" s="2249"/>
      <c r="R142" s="2249"/>
      <c r="S142" s="2249"/>
      <c r="T142" s="2249"/>
      <c r="U142" s="2249"/>
      <c r="V142" s="2249"/>
      <c r="W142" s="2249"/>
      <c r="X142" s="2249"/>
      <c r="Y142" s="2249"/>
      <c r="Z142" s="2249"/>
      <c r="AA142" s="2249"/>
      <c r="AB142" s="2249"/>
      <c r="AC142" s="2249"/>
      <c r="AD142" s="2249"/>
      <c r="AE142" s="2249"/>
      <c r="AF142" s="2249"/>
      <c r="AG142" s="2249"/>
      <c r="AH142" s="2249"/>
      <c r="AI142" s="2249"/>
      <c r="AJ142" s="2249"/>
      <c r="AK142" s="2249"/>
      <c r="AL142" s="2249"/>
      <c r="AM142" s="2249"/>
      <c r="AN142" s="2249"/>
      <c r="AO142" s="225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5"/>
      <c r="D143" s="2196"/>
      <c r="E143" s="2196"/>
      <c r="F143" s="2196"/>
      <c r="G143" s="2196"/>
      <c r="H143" s="2196"/>
      <c r="I143" s="2239"/>
      <c r="J143" s="2239"/>
      <c r="K143" s="2239"/>
      <c r="L143" s="2239"/>
      <c r="M143" s="2239"/>
      <c r="N143" s="2240"/>
      <c r="O143" s="1207"/>
      <c r="P143" s="2248"/>
      <c r="Q143" s="2249"/>
      <c r="R143" s="2249"/>
      <c r="S143" s="2249"/>
      <c r="T143" s="2249"/>
      <c r="U143" s="2249"/>
      <c r="V143" s="2249"/>
      <c r="W143" s="2249"/>
      <c r="X143" s="2249"/>
      <c r="Y143" s="2249"/>
      <c r="Z143" s="2249"/>
      <c r="AA143" s="2249"/>
      <c r="AB143" s="2249"/>
      <c r="AC143" s="2249"/>
      <c r="AD143" s="2249"/>
      <c r="AE143" s="2249"/>
      <c r="AF143" s="2249"/>
      <c r="AG143" s="2249"/>
      <c r="AH143" s="2249"/>
      <c r="AI143" s="2249"/>
      <c r="AJ143" s="2249"/>
      <c r="AK143" s="2249"/>
      <c r="AL143" s="2249"/>
      <c r="AM143" s="2249"/>
      <c r="AN143" s="2249"/>
      <c r="AO143" s="225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5"/>
      <c r="D144" s="2196"/>
      <c r="E144" s="2196"/>
      <c r="F144" s="2196"/>
      <c r="G144" s="2196"/>
      <c r="H144" s="2196"/>
      <c r="I144" s="2239"/>
      <c r="J144" s="2239"/>
      <c r="K144" s="2239"/>
      <c r="L144" s="2239"/>
      <c r="M144" s="2239"/>
      <c r="N144" s="2240"/>
      <c r="O144" s="1207"/>
      <c r="P144" s="2248"/>
      <c r="Q144" s="2249"/>
      <c r="R144" s="2249"/>
      <c r="S144" s="2249"/>
      <c r="T144" s="2249"/>
      <c r="U144" s="2249"/>
      <c r="V144" s="2249"/>
      <c r="W144" s="2249"/>
      <c r="X144" s="2249"/>
      <c r="Y144" s="2249"/>
      <c r="Z144" s="2249"/>
      <c r="AA144" s="2249"/>
      <c r="AB144" s="2249"/>
      <c r="AC144" s="2249"/>
      <c r="AD144" s="2249"/>
      <c r="AE144" s="2249"/>
      <c r="AF144" s="2249"/>
      <c r="AG144" s="2249"/>
      <c r="AH144" s="2249"/>
      <c r="AI144" s="2249"/>
      <c r="AJ144" s="2249"/>
      <c r="AK144" s="2249"/>
      <c r="AL144" s="2249"/>
      <c r="AM144" s="2249"/>
      <c r="AN144" s="2249"/>
      <c r="AO144" s="225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5"/>
      <c r="D145" s="2196"/>
      <c r="E145" s="2196"/>
      <c r="F145" s="2196"/>
      <c r="G145" s="2196"/>
      <c r="H145" s="2196"/>
      <c r="I145" s="2239"/>
      <c r="J145" s="2239"/>
      <c r="K145" s="2239"/>
      <c r="L145" s="2239"/>
      <c r="M145" s="2239"/>
      <c r="N145" s="2240"/>
      <c r="O145" s="1207"/>
      <c r="P145" s="2248"/>
      <c r="Q145" s="2249"/>
      <c r="R145" s="2249"/>
      <c r="S145" s="2249"/>
      <c r="T145" s="2249"/>
      <c r="U145" s="2249"/>
      <c r="V145" s="2249"/>
      <c r="W145" s="2249"/>
      <c r="X145" s="2249"/>
      <c r="Y145" s="2249"/>
      <c r="Z145" s="2249"/>
      <c r="AA145" s="2249"/>
      <c r="AB145" s="2249"/>
      <c r="AC145" s="2249"/>
      <c r="AD145" s="2249"/>
      <c r="AE145" s="2249"/>
      <c r="AF145" s="2249"/>
      <c r="AG145" s="2249"/>
      <c r="AH145" s="2249"/>
      <c r="AI145" s="2249"/>
      <c r="AJ145" s="2249"/>
      <c r="AK145" s="2249"/>
      <c r="AL145" s="2249"/>
      <c r="AM145" s="2249"/>
      <c r="AN145" s="2249"/>
      <c r="AO145" s="225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5"/>
      <c r="D146" s="2196"/>
      <c r="E146" s="2196"/>
      <c r="F146" s="2196"/>
      <c r="G146" s="2196"/>
      <c r="H146" s="2196"/>
      <c r="I146" s="2239"/>
      <c r="J146" s="2239"/>
      <c r="K146" s="2239"/>
      <c r="L146" s="2239"/>
      <c r="M146" s="2239"/>
      <c r="N146" s="2240"/>
      <c r="O146" s="1207"/>
      <c r="P146" s="2248"/>
      <c r="Q146" s="2249"/>
      <c r="R146" s="2249"/>
      <c r="S146" s="2249"/>
      <c r="T146" s="2249"/>
      <c r="U146" s="2249"/>
      <c r="V146" s="2249"/>
      <c r="W146" s="2249"/>
      <c r="X146" s="2249"/>
      <c r="Y146" s="2249"/>
      <c r="Z146" s="2249"/>
      <c r="AA146" s="2249"/>
      <c r="AB146" s="2249"/>
      <c r="AC146" s="2249"/>
      <c r="AD146" s="2249"/>
      <c r="AE146" s="2249"/>
      <c r="AF146" s="2249"/>
      <c r="AG146" s="2249"/>
      <c r="AH146" s="2249"/>
      <c r="AI146" s="2249"/>
      <c r="AJ146" s="2249"/>
      <c r="AK146" s="2249"/>
      <c r="AL146" s="2249"/>
      <c r="AM146" s="2249"/>
      <c r="AN146" s="2249"/>
      <c r="AO146" s="225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5"/>
      <c r="D147" s="2196"/>
      <c r="E147" s="2196"/>
      <c r="F147" s="2196"/>
      <c r="G147" s="2196"/>
      <c r="H147" s="2196"/>
      <c r="I147" s="2239"/>
      <c r="J147" s="2239"/>
      <c r="K147" s="2239"/>
      <c r="L147" s="2239"/>
      <c r="M147" s="2239"/>
      <c r="N147" s="2240"/>
      <c r="O147" s="1207"/>
      <c r="P147" s="2248"/>
      <c r="Q147" s="2249"/>
      <c r="R147" s="2249"/>
      <c r="S147" s="2249"/>
      <c r="T147" s="2249"/>
      <c r="U147" s="2249"/>
      <c r="V147" s="2249"/>
      <c r="W147" s="2249"/>
      <c r="X147" s="2249"/>
      <c r="Y147" s="2249"/>
      <c r="Z147" s="2249"/>
      <c r="AA147" s="2249"/>
      <c r="AB147" s="2249"/>
      <c r="AC147" s="2249"/>
      <c r="AD147" s="2249"/>
      <c r="AE147" s="2249"/>
      <c r="AF147" s="2249"/>
      <c r="AG147" s="2249"/>
      <c r="AH147" s="2249"/>
      <c r="AI147" s="2249"/>
      <c r="AJ147" s="2249"/>
      <c r="AK147" s="2249"/>
      <c r="AL147" s="2249"/>
      <c r="AM147" s="2249"/>
      <c r="AN147" s="2249"/>
      <c r="AO147" s="225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5"/>
      <c r="D148" s="2196"/>
      <c r="E148" s="2196"/>
      <c r="F148" s="2196"/>
      <c r="G148" s="2196"/>
      <c r="H148" s="2196"/>
      <c r="I148" s="2239"/>
      <c r="J148" s="2239"/>
      <c r="K148" s="2239"/>
      <c r="L148" s="2239"/>
      <c r="M148" s="2239"/>
      <c r="N148" s="2240"/>
      <c r="O148" s="1207"/>
      <c r="P148" s="2248"/>
      <c r="Q148" s="2249"/>
      <c r="R148" s="2249"/>
      <c r="S148" s="2249"/>
      <c r="T148" s="2249"/>
      <c r="U148" s="2249"/>
      <c r="V148" s="2249"/>
      <c r="W148" s="2249"/>
      <c r="X148" s="2249"/>
      <c r="Y148" s="2249"/>
      <c r="Z148" s="2249"/>
      <c r="AA148" s="2249"/>
      <c r="AB148" s="2249"/>
      <c r="AC148" s="2249"/>
      <c r="AD148" s="2249"/>
      <c r="AE148" s="2249"/>
      <c r="AF148" s="2249"/>
      <c r="AG148" s="2249"/>
      <c r="AH148" s="2249"/>
      <c r="AI148" s="2249"/>
      <c r="AJ148" s="2249"/>
      <c r="AK148" s="2249"/>
      <c r="AL148" s="2249"/>
      <c r="AM148" s="2249"/>
      <c r="AN148" s="2249"/>
      <c r="AO148" s="225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0"/>
      <c r="D149" s="2231"/>
      <c r="E149" s="2231"/>
      <c r="F149" s="2231"/>
      <c r="G149" s="2231"/>
      <c r="H149" s="2231"/>
      <c r="I149" s="2232"/>
      <c r="J149" s="2232"/>
      <c r="K149" s="2232"/>
      <c r="L149" s="2232"/>
      <c r="M149" s="2232"/>
      <c r="N149" s="2233"/>
      <c r="O149" s="1207"/>
      <c r="P149" s="2251"/>
      <c r="Q149" s="2252"/>
      <c r="R149" s="2252"/>
      <c r="S149" s="2252"/>
      <c r="T149" s="2252"/>
      <c r="U149" s="2252"/>
      <c r="V149" s="2252"/>
      <c r="W149" s="2252"/>
      <c r="X149" s="2252"/>
      <c r="Y149" s="2252"/>
      <c r="Z149" s="2252"/>
      <c r="AA149" s="2252"/>
      <c r="AB149" s="2252"/>
      <c r="AC149" s="2252"/>
      <c r="AD149" s="2252"/>
      <c r="AE149" s="2252"/>
      <c r="AF149" s="2252"/>
      <c r="AG149" s="2252"/>
      <c r="AH149" s="2252"/>
      <c r="AI149" s="2252"/>
      <c r="AJ149" s="2252"/>
      <c r="AK149" s="2252"/>
      <c r="AL149" s="2252"/>
      <c r="AM149" s="2252"/>
      <c r="AN149" s="2252"/>
      <c r="AO149" s="225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4" t="s">
        <v>2598</v>
      </c>
      <c r="D151" s="2234"/>
      <c r="E151" s="2234"/>
      <c r="F151" s="2234"/>
      <c r="G151" s="2234"/>
      <c r="H151" s="2234"/>
      <c r="I151" s="2234"/>
      <c r="J151" s="2234"/>
      <c r="K151" s="2234"/>
      <c r="L151" s="2234"/>
      <c r="M151" s="2234"/>
      <c r="N151" s="2234"/>
      <c r="O151" s="2234"/>
      <c r="P151" s="2234"/>
      <c r="Q151" s="2234"/>
      <c r="R151" s="2234"/>
      <c r="S151" s="2234"/>
      <c r="T151" s="2234"/>
      <c r="U151" s="2234"/>
      <c r="V151" s="2234"/>
      <c r="W151" s="2234"/>
      <c r="X151" s="2234"/>
      <c r="Y151" s="2234"/>
      <c r="Z151" s="2234"/>
      <c r="AA151" s="2234"/>
      <c r="AB151" s="2234"/>
      <c r="AC151" s="2234"/>
      <c r="AD151" s="2234"/>
      <c r="AE151" s="2234"/>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4"/>
      <c r="D152" s="2234"/>
      <c r="E152" s="2234"/>
      <c r="F152" s="2234"/>
      <c r="G152" s="2234"/>
      <c r="H152" s="2234"/>
      <c r="I152" s="2234"/>
      <c r="J152" s="2234"/>
      <c r="K152" s="2234"/>
      <c r="L152" s="2234"/>
      <c r="M152" s="2234"/>
      <c r="N152" s="2234"/>
      <c r="O152" s="2234"/>
      <c r="P152" s="2234"/>
      <c r="Q152" s="2234"/>
      <c r="R152" s="2234"/>
      <c r="S152" s="2234"/>
      <c r="T152" s="2234"/>
      <c r="U152" s="2234"/>
      <c r="V152" s="2234"/>
      <c r="W152" s="2234"/>
      <c r="X152" s="2234"/>
      <c r="Y152" s="2234"/>
      <c r="Z152" s="2234"/>
      <c r="AA152" s="2234"/>
      <c r="AB152" s="2234"/>
      <c r="AC152" s="2234"/>
      <c r="AD152" s="2234"/>
      <c r="AE152" s="2234"/>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5" t="s">
        <v>1909</v>
      </c>
      <c r="D153" s="2236"/>
      <c r="E153" s="2236"/>
      <c r="F153" s="2236"/>
      <c r="G153" s="2236"/>
      <c r="H153" s="2236"/>
      <c r="I153" s="2236"/>
      <c r="J153" s="2236"/>
      <c r="K153" s="2236"/>
      <c r="L153" s="2236"/>
      <c r="M153" s="2236"/>
      <c r="N153" s="2236" t="s">
        <v>1920</v>
      </c>
      <c r="O153" s="2236"/>
      <c r="P153" s="2236"/>
      <c r="Q153" s="2236"/>
      <c r="R153" s="2236"/>
      <c r="S153" s="2236"/>
      <c r="T153" s="2236"/>
      <c r="U153" s="2237" t="s">
        <v>1909</v>
      </c>
      <c r="V153" s="2237"/>
      <c r="W153" s="2237"/>
      <c r="X153" s="2237"/>
      <c r="Y153" s="2237"/>
      <c r="Z153" s="2237"/>
      <c r="AA153" s="2237"/>
      <c r="AB153" s="2237"/>
      <c r="AC153" s="2237"/>
      <c r="AD153" s="2237"/>
      <c r="AE153" s="2238"/>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7" t="s">
        <v>2599</v>
      </c>
      <c r="D154" s="2208"/>
      <c r="E154" s="2208"/>
      <c r="F154" s="2208"/>
      <c r="G154" s="2208"/>
      <c r="H154" s="2208"/>
      <c r="I154" s="2208"/>
      <c r="J154" s="2208"/>
      <c r="K154" s="2208"/>
      <c r="L154" s="2208"/>
      <c r="M154" s="2208"/>
      <c r="N154" s="2224">
        <f>'Sources and Uses Budget'!B105</f>
        <v>47550835</v>
      </c>
      <c r="O154" s="2224"/>
      <c r="P154" s="2224"/>
      <c r="Q154" s="2224"/>
      <c r="R154" s="2224"/>
      <c r="S154" s="2224"/>
      <c r="T154" s="2224"/>
      <c r="U154" s="2225"/>
      <c r="V154" s="2225"/>
      <c r="W154" s="2225"/>
      <c r="X154" s="2225"/>
      <c r="Y154" s="2225"/>
      <c r="Z154" s="2225"/>
      <c r="AA154" s="2225"/>
      <c r="AB154" s="2225"/>
      <c r="AC154" s="2225"/>
      <c r="AD154" s="2225"/>
      <c r="AE154" s="2226"/>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7" t="s">
        <v>2601</v>
      </c>
      <c r="D155" s="2208"/>
      <c r="E155" s="2208"/>
      <c r="F155" s="2208"/>
      <c r="G155" s="2208"/>
      <c r="H155" s="2208"/>
      <c r="I155" s="2208"/>
      <c r="J155" s="2208"/>
      <c r="K155" s="2208"/>
      <c r="L155" s="2208"/>
      <c r="M155" s="2208"/>
      <c r="N155" s="2224">
        <f>N154/J29</f>
        <v>409920.99137931032</v>
      </c>
      <c r="O155" s="2224"/>
      <c r="P155" s="2224"/>
      <c r="Q155" s="2224"/>
      <c r="R155" s="2224"/>
      <c r="S155" s="2224"/>
      <c r="T155" s="222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7" t="s">
        <v>2602</v>
      </c>
      <c r="D156" s="2228"/>
      <c r="E156" s="2228"/>
      <c r="F156" s="2228"/>
      <c r="G156" s="2228"/>
      <c r="H156" s="2228"/>
      <c r="I156" s="2228"/>
      <c r="J156" s="2228"/>
      <c r="K156" s="2228"/>
      <c r="L156" s="2228"/>
      <c r="M156" s="2228"/>
      <c r="N156" s="2229">
        <v>0</v>
      </c>
      <c r="O156" s="2229"/>
      <c r="P156" s="2229"/>
      <c r="Q156" s="2229"/>
      <c r="R156" s="2229"/>
      <c r="S156" s="2229"/>
      <c r="T156" s="2229"/>
      <c r="U156" s="2199"/>
      <c r="V156" s="2199"/>
      <c r="W156" s="2199"/>
      <c r="X156" s="2199"/>
      <c r="Y156" s="2199"/>
      <c r="Z156" s="2199"/>
      <c r="AA156" s="2199"/>
      <c r="AB156" s="2199"/>
      <c r="AC156" s="2199"/>
      <c r="AD156" s="2199"/>
      <c r="AE156" s="2200"/>
      <c r="AF156" s="1207"/>
      <c r="AG156" s="1207"/>
      <c r="AH156" s="2209" t="s">
        <v>2269</v>
      </c>
      <c r="AI156" s="2210"/>
      <c r="AJ156" s="2210"/>
      <c r="AK156" s="2210"/>
      <c r="AL156" s="2210"/>
      <c r="AM156" s="2210"/>
      <c r="AN156" s="2210"/>
      <c r="AO156" s="2210"/>
      <c r="AP156" s="2210"/>
      <c r="AQ156" s="2210"/>
      <c r="AR156" s="2210"/>
      <c r="AS156" s="2211">
        <f>SUM(AS152:AW154)</f>
        <v>0</v>
      </c>
      <c r="AT156" s="2211"/>
      <c r="AU156" s="2211"/>
      <c r="AV156" s="2211"/>
      <c r="AW156" s="2212"/>
      <c r="AX156" s="1207"/>
      <c r="AY156" s="1207"/>
      <c r="AZ156" s="1207"/>
      <c r="BA156" s="1207"/>
      <c r="BB156" s="1207"/>
      <c r="BC156" s="1207"/>
      <c r="BD156" s="1207"/>
      <c r="BE156" s="1213"/>
    </row>
    <row r="157" spans="1:57" ht="15.75" customHeight="1" thickBot="1">
      <c r="A157" s="1207"/>
      <c r="B157" s="1207"/>
      <c r="C157" s="2207" t="s">
        <v>2603</v>
      </c>
      <c r="D157" s="2208"/>
      <c r="E157" s="2208"/>
      <c r="F157" s="2208"/>
      <c r="G157" s="2208"/>
      <c r="H157" s="2208"/>
      <c r="I157" s="2208"/>
      <c r="J157" s="2208"/>
      <c r="K157" s="2208"/>
      <c r="L157" s="2208"/>
      <c r="M157" s="2208"/>
      <c r="N157" s="2213">
        <f>SUM('Sources and Uses Budget'!B85:B86)</f>
        <v>6214894</v>
      </c>
      <c r="O157" s="2213"/>
      <c r="P157" s="2213"/>
      <c r="Q157" s="2213"/>
      <c r="R157" s="2213"/>
      <c r="S157" s="2213"/>
      <c r="T157" s="2213"/>
      <c r="U157" s="2199"/>
      <c r="V157" s="2199"/>
      <c r="W157" s="2199"/>
      <c r="X157" s="2199"/>
      <c r="Y157" s="2199"/>
      <c r="Z157" s="2199"/>
      <c r="AA157" s="2199"/>
      <c r="AB157" s="2199"/>
      <c r="AC157" s="2199"/>
      <c r="AD157" s="2199"/>
      <c r="AE157" s="2200"/>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7" t="s">
        <v>2605</v>
      </c>
      <c r="D158" s="2208"/>
      <c r="E158" s="2208"/>
      <c r="F158" s="2208"/>
      <c r="G158" s="2208"/>
      <c r="H158" s="2208"/>
      <c r="I158" s="2208"/>
      <c r="J158" s="2208"/>
      <c r="K158" s="2208"/>
      <c r="L158" s="2208"/>
      <c r="M158" s="2208"/>
      <c r="N158" s="2213">
        <f>'Sources and Uses Budget'!B8</f>
        <v>1</v>
      </c>
      <c r="O158" s="2213"/>
      <c r="P158" s="2213"/>
      <c r="Q158" s="2213"/>
      <c r="R158" s="2213"/>
      <c r="S158" s="2213"/>
      <c r="T158" s="2213"/>
      <c r="U158" s="2199"/>
      <c r="V158" s="2199"/>
      <c r="W158" s="2199"/>
      <c r="X158" s="2199"/>
      <c r="Y158" s="2199"/>
      <c r="Z158" s="2199"/>
      <c r="AA158" s="2199"/>
      <c r="AB158" s="2199"/>
      <c r="AC158" s="2199"/>
      <c r="AD158" s="2199"/>
      <c r="AE158" s="2200"/>
      <c r="AF158" s="1207"/>
      <c r="AG158" s="1207"/>
      <c r="AH158" s="2214" t="s">
        <v>2606</v>
      </c>
      <c r="AI158" s="2215"/>
      <c r="AJ158" s="2215"/>
      <c r="AK158" s="2215"/>
      <c r="AL158" s="2215"/>
      <c r="AM158" s="2215"/>
      <c r="AN158" s="2215"/>
      <c r="AO158" s="2215"/>
      <c r="AP158" s="2215"/>
      <c r="AQ158" s="2215"/>
      <c r="AR158" s="2216"/>
      <c r="AS158" s="2220" t="s">
        <v>2607</v>
      </c>
      <c r="AT158" s="2203"/>
      <c r="AU158" s="2203"/>
      <c r="AV158" s="2203"/>
      <c r="AW158" s="2203"/>
      <c r="AX158" s="2221"/>
      <c r="AY158" s="2203" t="s">
        <v>2608</v>
      </c>
      <c r="AZ158" s="2203"/>
      <c r="BA158" s="2203"/>
      <c r="BB158" s="2203"/>
      <c r="BC158" s="2203"/>
      <c r="BD158" s="2204"/>
      <c r="BE158" s="1213"/>
    </row>
    <row r="159" spans="1:57" ht="15.75" customHeight="1">
      <c r="A159" s="1207"/>
      <c r="B159" s="1207"/>
      <c r="C159" s="2207" t="s">
        <v>2609</v>
      </c>
      <c r="D159" s="2208"/>
      <c r="E159" s="2208"/>
      <c r="F159" s="2208"/>
      <c r="G159" s="2208"/>
      <c r="H159" s="2208"/>
      <c r="I159" s="2208"/>
      <c r="J159" s="2208"/>
      <c r="K159" s="2208"/>
      <c r="L159" s="2208"/>
      <c r="M159" s="2208"/>
      <c r="N159" s="2198">
        <v>0</v>
      </c>
      <c r="O159" s="2198"/>
      <c r="P159" s="2198"/>
      <c r="Q159" s="2198"/>
      <c r="R159" s="2198"/>
      <c r="S159" s="2198"/>
      <c r="T159" s="2198"/>
      <c r="U159" s="2199"/>
      <c r="V159" s="2199"/>
      <c r="W159" s="2199"/>
      <c r="X159" s="2199"/>
      <c r="Y159" s="2199"/>
      <c r="Z159" s="2199"/>
      <c r="AA159" s="2199"/>
      <c r="AB159" s="2199"/>
      <c r="AC159" s="2199"/>
      <c r="AD159" s="2199"/>
      <c r="AE159" s="2200"/>
      <c r="AF159" s="1207"/>
      <c r="AG159" s="1207"/>
      <c r="AH159" s="2217"/>
      <c r="AI159" s="2218"/>
      <c r="AJ159" s="2218"/>
      <c r="AK159" s="2218"/>
      <c r="AL159" s="2218"/>
      <c r="AM159" s="2218"/>
      <c r="AN159" s="2218"/>
      <c r="AO159" s="2218"/>
      <c r="AP159" s="2218"/>
      <c r="AQ159" s="2218"/>
      <c r="AR159" s="2219"/>
      <c r="AS159" s="2222"/>
      <c r="AT159" s="2205"/>
      <c r="AU159" s="2205"/>
      <c r="AV159" s="2205"/>
      <c r="AW159" s="2205"/>
      <c r="AX159" s="2223"/>
      <c r="AY159" s="2205"/>
      <c r="AZ159" s="2205"/>
      <c r="BA159" s="2205"/>
      <c r="BB159" s="2205"/>
      <c r="BC159" s="2205"/>
      <c r="BD159" s="2206"/>
      <c r="BE159" s="1213"/>
    </row>
    <row r="160" spans="1:57" ht="15.75" customHeight="1">
      <c r="A160" s="1207"/>
      <c r="B160" s="1207"/>
      <c r="C160" s="2207" t="s">
        <v>2610</v>
      </c>
      <c r="D160" s="2208"/>
      <c r="E160" s="2208"/>
      <c r="F160" s="2208"/>
      <c r="G160" s="2208"/>
      <c r="H160" s="2208"/>
      <c r="I160" s="2208"/>
      <c r="J160" s="2208"/>
      <c r="K160" s="2208"/>
      <c r="L160" s="2208"/>
      <c r="M160" s="2208"/>
      <c r="N160" s="2198">
        <v>0</v>
      </c>
      <c r="O160" s="2198"/>
      <c r="P160" s="2198"/>
      <c r="Q160" s="2198"/>
      <c r="R160" s="2198"/>
      <c r="S160" s="2198"/>
      <c r="T160" s="2198"/>
      <c r="U160" s="2199"/>
      <c r="V160" s="2199"/>
      <c r="W160" s="2199"/>
      <c r="X160" s="2199"/>
      <c r="Y160" s="2199"/>
      <c r="Z160" s="2199"/>
      <c r="AA160" s="2199"/>
      <c r="AB160" s="2199"/>
      <c r="AC160" s="2199"/>
      <c r="AD160" s="2199"/>
      <c r="AE160" s="2200"/>
      <c r="AF160" s="1207"/>
      <c r="AG160" s="1207"/>
      <c r="AH160" s="2174" t="s">
        <v>2270</v>
      </c>
      <c r="AI160" s="2175"/>
      <c r="AJ160" s="2175"/>
      <c r="AK160" s="2175"/>
      <c r="AL160" s="2175"/>
      <c r="AM160" s="2175"/>
      <c r="AN160" s="2175"/>
      <c r="AO160" s="2175"/>
      <c r="AP160" s="2175"/>
      <c r="AQ160" s="2175"/>
      <c r="AR160" s="2175"/>
      <c r="AS160" s="2176">
        <v>0</v>
      </c>
      <c r="AT160" s="2176"/>
      <c r="AU160" s="2176"/>
      <c r="AV160" s="2176"/>
      <c r="AW160" s="2176"/>
      <c r="AX160" s="2176"/>
      <c r="AY160" s="2176">
        <v>0</v>
      </c>
      <c r="AZ160" s="2176"/>
      <c r="BA160" s="2176"/>
      <c r="BB160" s="2176"/>
      <c r="BC160" s="2176"/>
      <c r="BD160" s="2177"/>
      <c r="BE160" s="1213"/>
    </row>
    <row r="161" spans="1:57" ht="15.75" customHeight="1">
      <c r="A161" s="1207"/>
      <c r="B161" s="1207"/>
      <c r="C161" s="2201" t="s">
        <v>301</v>
      </c>
      <c r="D161" s="2202"/>
      <c r="E161" s="2197" t="s">
        <v>1915</v>
      </c>
      <c r="F161" s="2197"/>
      <c r="G161" s="2197"/>
      <c r="H161" s="2197"/>
      <c r="I161" s="2197"/>
      <c r="J161" s="2197"/>
      <c r="K161" s="2197"/>
      <c r="L161" s="2197"/>
      <c r="M161" s="2197"/>
      <c r="N161" s="2198">
        <v>0</v>
      </c>
      <c r="O161" s="2198"/>
      <c r="P161" s="2198"/>
      <c r="Q161" s="2198"/>
      <c r="R161" s="2198"/>
      <c r="S161" s="2198"/>
      <c r="T161" s="2198"/>
      <c r="U161" s="2199"/>
      <c r="V161" s="2199"/>
      <c r="W161" s="2199"/>
      <c r="X161" s="2199"/>
      <c r="Y161" s="2199"/>
      <c r="Z161" s="2199"/>
      <c r="AA161" s="2199"/>
      <c r="AB161" s="2199"/>
      <c r="AC161" s="2199"/>
      <c r="AD161" s="2199"/>
      <c r="AE161" s="2200"/>
      <c r="AF161" s="1207"/>
      <c r="AG161" s="1207"/>
      <c r="AH161" s="2174" t="s">
        <v>2271</v>
      </c>
      <c r="AI161" s="2175"/>
      <c r="AJ161" s="2175"/>
      <c r="AK161" s="2175"/>
      <c r="AL161" s="2175"/>
      <c r="AM161" s="2175"/>
      <c r="AN161" s="2175"/>
      <c r="AO161" s="2175"/>
      <c r="AP161" s="2175"/>
      <c r="AQ161" s="2175"/>
      <c r="AR161" s="2175"/>
      <c r="AS161" s="2176">
        <v>0</v>
      </c>
      <c r="AT161" s="2176"/>
      <c r="AU161" s="2176"/>
      <c r="AV161" s="2176"/>
      <c r="AW161" s="2176"/>
      <c r="AX161" s="2176"/>
      <c r="AY161" s="2176">
        <v>0</v>
      </c>
      <c r="AZ161" s="2176"/>
      <c r="BA161" s="2176"/>
      <c r="BB161" s="2176"/>
      <c r="BC161" s="2176"/>
      <c r="BD161" s="2177"/>
      <c r="BE161" s="1213"/>
    </row>
    <row r="162" spans="1:57" ht="15.75" customHeight="1">
      <c r="A162" s="1207"/>
      <c r="B162" s="1207"/>
      <c r="C162" s="2195" t="s">
        <v>301</v>
      </c>
      <c r="D162" s="2196"/>
      <c r="E162" s="2197" t="s">
        <v>1915</v>
      </c>
      <c r="F162" s="2197"/>
      <c r="G162" s="2197"/>
      <c r="H162" s="2197"/>
      <c r="I162" s="2197"/>
      <c r="J162" s="2197"/>
      <c r="K162" s="2197"/>
      <c r="L162" s="2197"/>
      <c r="M162" s="2197"/>
      <c r="N162" s="2198">
        <v>0</v>
      </c>
      <c r="O162" s="2198"/>
      <c r="P162" s="2198"/>
      <c r="Q162" s="2198"/>
      <c r="R162" s="2198"/>
      <c r="S162" s="2198"/>
      <c r="T162" s="2198"/>
      <c r="U162" s="2199"/>
      <c r="V162" s="2199"/>
      <c r="W162" s="2199"/>
      <c r="X162" s="2199"/>
      <c r="Y162" s="2199"/>
      <c r="Z162" s="2199"/>
      <c r="AA162" s="2199"/>
      <c r="AB162" s="2199"/>
      <c r="AC162" s="2199"/>
      <c r="AD162" s="2199"/>
      <c r="AE162" s="2200"/>
      <c r="AF162" s="1207"/>
      <c r="AG162" s="1207"/>
      <c r="AH162" s="2174" t="s">
        <v>2272</v>
      </c>
      <c r="AI162" s="2175"/>
      <c r="AJ162" s="2175"/>
      <c r="AK162" s="2175"/>
      <c r="AL162" s="2175"/>
      <c r="AM162" s="2175"/>
      <c r="AN162" s="2175"/>
      <c r="AO162" s="2175"/>
      <c r="AP162" s="2175"/>
      <c r="AQ162" s="2175"/>
      <c r="AR162" s="2175"/>
      <c r="AS162" s="2176">
        <v>0</v>
      </c>
      <c r="AT162" s="2176"/>
      <c r="AU162" s="2176"/>
      <c r="AV162" s="2176"/>
      <c r="AW162" s="2176"/>
      <c r="AX162" s="2176"/>
      <c r="AY162" s="2176">
        <v>0</v>
      </c>
      <c r="AZ162" s="2176"/>
      <c r="BA162" s="2176"/>
      <c r="BB162" s="2176"/>
      <c r="BC162" s="2176"/>
      <c r="BD162" s="2177"/>
      <c r="BE162" s="1213"/>
    </row>
    <row r="163" spans="1:57" ht="15.75" customHeight="1" thickBot="1">
      <c r="A163" s="1207"/>
      <c r="B163" s="1207"/>
      <c r="C163" s="2186" t="s">
        <v>301</v>
      </c>
      <c r="D163" s="2187"/>
      <c r="E163" s="2188" t="s">
        <v>1915</v>
      </c>
      <c r="F163" s="2188"/>
      <c r="G163" s="2188"/>
      <c r="H163" s="2188"/>
      <c r="I163" s="2188"/>
      <c r="J163" s="2188"/>
      <c r="K163" s="2188"/>
      <c r="L163" s="2188"/>
      <c r="M163" s="2189"/>
      <c r="N163" s="2190">
        <v>0</v>
      </c>
      <c r="O163" s="2190"/>
      <c r="P163" s="2190"/>
      <c r="Q163" s="2190"/>
      <c r="R163" s="2190"/>
      <c r="S163" s="2190"/>
      <c r="T163" s="2191"/>
      <c r="U163" s="2192"/>
      <c r="V163" s="2193"/>
      <c r="W163" s="2193"/>
      <c r="X163" s="2193"/>
      <c r="Y163" s="2193"/>
      <c r="Z163" s="2193"/>
      <c r="AA163" s="2193"/>
      <c r="AB163" s="2193"/>
      <c r="AC163" s="2193"/>
      <c r="AD163" s="2193"/>
      <c r="AE163" s="2194"/>
      <c r="AF163" s="1207"/>
      <c r="AG163" s="1207"/>
      <c r="AH163" s="2174" t="s">
        <v>2273</v>
      </c>
      <c r="AI163" s="2175"/>
      <c r="AJ163" s="2175"/>
      <c r="AK163" s="2175"/>
      <c r="AL163" s="2175"/>
      <c r="AM163" s="2175"/>
      <c r="AN163" s="2175"/>
      <c r="AO163" s="2175"/>
      <c r="AP163" s="2175"/>
      <c r="AQ163" s="2175"/>
      <c r="AR163" s="2175"/>
      <c r="AS163" s="2176">
        <v>0</v>
      </c>
      <c r="AT163" s="2176"/>
      <c r="AU163" s="2176"/>
      <c r="AV163" s="2176"/>
      <c r="AW163" s="2176"/>
      <c r="AX163" s="2176"/>
      <c r="AY163" s="2176">
        <v>0</v>
      </c>
      <c r="AZ163" s="2176"/>
      <c r="BA163" s="2176"/>
      <c r="BB163" s="2176"/>
      <c r="BC163" s="2176"/>
      <c r="BD163" s="2177"/>
      <c r="BE163" s="1213"/>
    </row>
    <row r="164" spans="1:57" ht="15.75" customHeight="1">
      <c r="A164" s="1207"/>
      <c r="B164" s="1207"/>
      <c r="C164" s="2182" t="s">
        <v>1923</v>
      </c>
      <c r="D164" s="2183"/>
      <c r="E164" s="2183"/>
      <c r="F164" s="2183"/>
      <c r="G164" s="2183"/>
      <c r="H164" s="2183"/>
      <c r="I164" s="2183"/>
      <c r="J164" s="2183"/>
      <c r="K164" s="2183"/>
      <c r="L164" s="2183"/>
      <c r="M164" s="2183"/>
      <c r="N164" s="2184">
        <f>SUM(N156:T163)</f>
        <v>6214895</v>
      </c>
      <c r="O164" s="2184"/>
      <c r="P164" s="2184"/>
      <c r="Q164" s="2184"/>
      <c r="R164" s="2184"/>
      <c r="S164" s="2184"/>
      <c r="T164" s="2185"/>
      <c r="U164" s="1207"/>
      <c r="V164" s="1207"/>
      <c r="W164" s="1207"/>
      <c r="X164" s="1207"/>
      <c r="Y164" s="1207"/>
      <c r="Z164" s="1207"/>
      <c r="AA164" s="1207"/>
      <c r="AB164" s="1207"/>
      <c r="AC164" s="1207"/>
      <c r="AD164" s="1207"/>
      <c r="AE164" s="1207"/>
      <c r="AF164" s="1207"/>
      <c r="AG164" s="1207"/>
      <c r="AH164" s="2174" t="s">
        <v>2274</v>
      </c>
      <c r="AI164" s="2175"/>
      <c r="AJ164" s="2175"/>
      <c r="AK164" s="2175"/>
      <c r="AL164" s="2175"/>
      <c r="AM164" s="2175"/>
      <c r="AN164" s="2175"/>
      <c r="AO164" s="2175"/>
      <c r="AP164" s="2175"/>
      <c r="AQ164" s="2175"/>
      <c r="AR164" s="2175"/>
      <c r="AS164" s="2176">
        <v>0</v>
      </c>
      <c r="AT164" s="2176"/>
      <c r="AU164" s="2176"/>
      <c r="AV164" s="2176"/>
      <c r="AW164" s="2176"/>
      <c r="AX164" s="2176"/>
      <c r="AY164" s="2176">
        <v>0</v>
      </c>
      <c r="AZ164" s="2176"/>
      <c r="BA164" s="2176"/>
      <c r="BB164" s="2176"/>
      <c r="BC164" s="2176"/>
      <c r="BD164" s="2177"/>
      <c r="BE164" s="1213"/>
    </row>
    <row r="165" spans="1:57" ht="15.75" customHeight="1" thickBot="1">
      <c r="A165" s="1207"/>
      <c r="B165" s="1207"/>
      <c r="C165" s="2169" t="s">
        <v>2611</v>
      </c>
      <c r="D165" s="2170"/>
      <c r="E165" s="2170"/>
      <c r="F165" s="2170"/>
      <c r="G165" s="2170"/>
      <c r="H165" s="2170"/>
      <c r="I165" s="2170"/>
      <c r="J165" s="2170"/>
      <c r="K165" s="2170"/>
      <c r="L165" s="2170"/>
      <c r="M165" s="2170"/>
      <c r="N165" s="2171">
        <f>(N154-N164)/J29</f>
        <v>356344.31034482759</v>
      </c>
      <c r="O165" s="2172"/>
      <c r="P165" s="2172"/>
      <c r="Q165" s="2172"/>
      <c r="R165" s="2172"/>
      <c r="S165" s="2172"/>
      <c r="T165" s="2173"/>
      <c r="U165" s="1214"/>
      <c r="V165" s="1207"/>
      <c r="W165" s="1207"/>
      <c r="X165" s="1207"/>
      <c r="Y165" s="1207"/>
      <c r="Z165" s="1207"/>
      <c r="AA165" s="1207"/>
      <c r="AB165" s="1207"/>
      <c r="AC165" s="1207"/>
      <c r="AD165" s="1207"/>
      <c r="AE165" s="1207"/>
      <c r="AF165" s="1207"/>
      <c r="AG165" s="1207"/>
      <c r="AH165" s="2174" t="s">
        <v>2275</v>
      </c>
      <c r="AI165" s="2175"/>
      <c r="AJ165" s="2175"/>
      <c r="AK165" s="2175"/>
      <c r="AL165" s="2175"/>
      <c r="AM165" s="2175"/>
      <c r="AN165" s="2175"/>
      <c r="AO165" s="2175"/>
      <c r="AP165" s="2175"/>
      <c r="AQ165" s="2175"/>
      <c r="AR165" s="2175"/>
      <c r="AS165" s="2176">
        <v>0</v>
      </c>
      <c r="AT165" s="2176"/>
      <c r="AU165" s="2176"/>
      <c r="AV165" s="2176"/>
      <c r="AW165" s="2176"/>
      <c r="AX165" s="2176"/>
      <c r="AY165" s="2176">
        <v>0</v>
      </c>
      <c r="AZ165" s="2176"/>
      <c r="BA165" s="2176"/>
      <c r="BB165" s="2176"/>
      <c r="BC165" s="2176"/>
      <c r="BD165" s="217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78" t="s">
        <v>125</v>
      </c>
      <c r="AI166" s="2179"/>
      <c r="AJ166" s="2179"/>
      <c r="AK166" s="2179"/>
      <c r="AL166" s="2179"/>
      <c r="AM166" s="2179"/>
      <c r="AN166" s="2179"/>
      <c r="AO166" s="2179"/>
      <c r="AP166" s="2179"/>
      <c r="AQ166" s="2179"/>
      <c r="AR166" s="2179"/>
      <c r="AS166" s="2180">
        <f>SUM(AS160:AX165)</f>
        <v>0</v>
      </c>
      <c r="AT166" s="2180"/>
      <c r="AU166" s="2180"/>
      <c r="AV166" s="2180"/>
      <c r="AW166" s="2180"/>
      <c r="AX166" s="2180"/>
      <c r="AY166" s="2180">
        <f>SUM(AY160:BD165)</f>
        <v>0</v>
      </c>
      <c r="AZ166" s="2180"/>
      <c r="BA166" s="2180"/>
      <c r="BB166" s="2180"/>
      <c r="BC166" s="2180"/>
      <c r="BD166" s="218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6" t="s">
        <v>1924</v>
      </c>
      <c r="C168" s="2157"/>
      <c r="D168" s="2157"/>
      <c r="E168" s="2157"/>
      <c r="F168" s="2157"/>
      <c r="G168" s="2157"/>
      <c r="H168" s="2157"/>
      <c r="I168" s="2157"/>
      <c r="J168" s="2157"/>
      <c r="K168" s="2157"/>
      <c r="L168" s="2157"/>
      <c r="M168" s="2157"/>
      <c r="N168" s="2157"/>
      <c r="O168" s="2157"/>
      <c r="P168" s="2157"/>
      <c r="Q168" s="2157"/>
      <c r="R168" s="2157"/>
      <c r="S168" s="2157"/>
      <c r="T168" s="2157"/>
      <c r="U168" s="2157"/>
      <c r="V168" s="2157"/>
      <c r="W168" s="2157"/>
      <c r="X168" s="2157"/>
      <c r="Y168" s="2157"/>
      <c r="Z168" s="2157"/>
      <c r="AA168" s="2157"/>
      <c r="AB168" s="2157"/>
      <c r="AC168" s="2157"/>
      <c r="AD168" s="2157"/>
      <c r="AE168" s="2157"/>
      <c r="AF168" s="2157"/>
      <c r="AG168" s="2157"/>
      <c r="AH168" s="2157"/>
      <c r="AI168" s="2157"/>
      <c r="AJ168" s="2157"/>
      <c r="AK168" s="2157"/>
      <c r="AL168" s="2157"/>
      <c r="AM168" s="2157"/>
      <c r="AN168" s="2157"/>
      <c r="AO168" s="2157"/>
      <c r="AP168" s="2157"/>
      <c r="AQ168" s="2157"/>
      <c r="AR168" s="2157"/>
      <c r="AS168" s="2157"/>
      <c r="AT168" s="2157"/>
      <c r="AU168" s="2157"/>
      <c r="AV168" s="2157"/>
      <c r="AW168" s="2157"/>
      <c r="AX168" s="2157"/>
      <c r="AY168" s="2157"/>
      <c r="AZ168" s="2157"/>
      <c r="BA168" s="2157"/>
      <c r="BB168" s="2157"/>
      <c r="BC168" s="2157"/>
      <c r="BD168" s="2158"/>
      <c r="BE168" s="1213"/>
    </row>
    <row r="169" spans="1:57" ht="15.75" customHeight="1">
      <c r="A169" s="1207"/>
      <c r="B169" s="2159"/>
      <c r="C169" s="2160"/>
      <c r="D169" s="2160"/>
      <c r="E169" s="2160"/>
      <c r="F169" s="2160"/>
      <c r="G169" s="2160"/>
      <c r="H169" s="2160"/>
      <c r="I169" s="2160"/>
      <c r="J169" s="2160"/>
      <c r="K169" s="2160"/>
      <c r="L169" s="2160"/>
      <c r="M169" s="2160"/>
      <c r="N169" s="2160"/>
      <c r="O169" s="2160"/>
      <c r="P169" s="2160"/>
      <c r="Q169" s="2160"/>
      <c r="R169" s="2160"/>
      <c r="S169" s="2160"/>
      <c r="T169" s="2160"/>
      <c r="U169" s="2160"/>
      <c r="V169" s="2160"/>
      <c r="W169" s="2160"/>
      <c r="X169" s="2160"/>
      <c r="Y169" s="2160"/>
      <c r="Z169" s="2160"/>
      <c r="AA169" s="2160"/>
      <c r="AB169" s="2160"/>
      <c r="AC169" s="2160"/>
      <c r="AD169" s="2160"/>
      <c r="AE169" s="2160"/>
      <c r="AF169" s="2160"/>
      <c r="AG169" s="2160"/>
      <c r="AH169" s="2160"/>
      <c r="AI169" s="2160"/>
      <c r="AJ169" s="2160"/>
      <c r="AK169" s="2160"/>
      <c r="AL169" s="2160"/>
      <c r="AM169" s="2160"/>
      <c r="AN169" s="2160"/>
      <c r="AO169" s="2160"/>
      <c r="AP169" s="2160"/>
      <c r="AQ169" s="2160"/>
      <c r="AR169" s="2160"/>
      <c r="AS169" s="2160"/>
      <c r="AT169" s="2160"/>
      <c r="AU169" s="2160"/>
      <c r="AV169" s="2160"/>
      <c r="AW169" s="2160"/>
      <c r="AX169" s="2160"/>
      <c r="AY169" s="2160"/>
      <c r="AZ169" s="2160"/>
      <c r="BA169" s="2160"/>
      <c r="BB169" s="2160"/>
      <c r="BC169" s="2160"/>
      <c r="BD169" s="2161"/>
      <c r="BE169" s="1213"/>
    </row>
    <row r="170" spans="1:57" ht="15.75" customHeight="1">
      <c r="A170" s="1207"/>
      <c r="B170" s="2162" t="s">
        <v>1925</v>
      </c>
      <c r="C170" s="2163"/>
      <c r="D170" s="2163"/>
      <c r="E170" s="2163"/>
      <c r="F170" s="2163"/>
      <c r="G170" s="2163"/>
      <c r="H170" s="2163"/>
      <c r="I170" s="2163"/>
      <c r="J170" s="2163"/>
      <c r="K170" s="2163"/>
      <c r="L170" s="2163"/>
      <c r="M170" s="2163"/>
      <c r="N170" s="2163"/>
      <c r="O170" s="2163"/>
      <c r="P170" s="2163"/>
      <c r="Q170" s="2163"/>
      <c r="R170" s="2163"/>
      <c r="S170" s="2163"/>
      <c r="T170" s="2163"/>
      <c r="U170" s="2163"/>
      <c r="V170" s="2163"/>
      <c r="W170" s="2163"/>
      <c r="X170" s="2163"/>
      <c r="Y170" s="2163"/>
      <c r="Z170" s="2163"/>
      <c r="AA170" s="2163"/>
      <c r="AB170" s="2163"/>
      <c r="AC170" s="2163"/>
      <c r="AD170" s="2163"/>
      <c r="AE170" s="2163"/>
      <c r="AF170" s="2163"/>
      <c r="AG170" s="2163"/>
      <c r="AH170" s="2163"/>
      <c r="AI170" s="2163"/>
      <c r="AJ170" s="2163"/>
      <c r="AK170" s="2163"/>
      <c r="AL170" s="2163"/>
      <c r="AM170" s="2163"/>
      <c r="AN170" s="2163"/>
      <c r="AO170" s="2163"/>
      <c r="AP170" s="2163"/>
      <c r="AQ170" s="2163"/>
      <c r="AR170" s="2163"/>
      <c r="AS170" s="2163"/>
      <c r="AT170" s="2163"/>
      <c r="AU170" s="2163"/>
      <c r="AV170" s="2163"/>
      <c r="AW170" s="2163"/>
      <c r="AX170" s="2163"/>
      <c r="AY170" s="2163"/>
      <c r="AZ170" s="2163"/>
      <c r="BA170" s="2163"/>
      <c r="BB170" s="2163"/>
      <c r="BC170" s="2163"/>
      <c r="BD170" s="2164"/>
      <c r="BE170" s="1213"/>
    </row>
    <row r="171" spans="1:57" ht="15.75" customHeight="1">
      <c r="A171" s="1207"/>
      <c r="B171" s="2162" t="s">
        <v>1926</v>
      </c>
      <c r="C171" s="2163"/>
      <c r="D171" s="2163"/>
      <c r="E171" s="2163"/>
      <c r="F171" s="2163"/>
      <c r="G171" s="2163"/>
      <c r="H171" s="2163"/>
      <c r="I171" s="2163"/>
      <c r="J171" s="2163"/>
      <c r="K171" s="2163"/>
      <c r="L171" s="2163"/>
      <c r="M171" s="2163"/>
      <c r="N171" s="2163"/>
      <c r="O171" s="2163"/>
      <c r="P171" s="2163"/>
      <c r="Q171" s="2163"/>
      <c r="R171" s="2163"/>
      <c r="S171" s="2163"/>
      <c r="T171" s="2163"/>
      <c r="U171" s="2163"/>
      <c r="V171" s="2163"/>
      <c r="W171" s="2163"/>
      <c r="X171" s="2163"/>
      <c r="Y171" s="2163"/>
      <c r="Z171" s="2163"/>
      <c r="AA171" s="2163"/>
      <c r="AB171" s="2163"/>
      <c r="AC171" s="2163"/>
      <c r="AD171" s="2163"/>
      <c r="AE171" s="2163"/>
      <c r="AF171" s="2163"/>
      <c r="AG171" s="2163"/>
      <c r="AH171" s="2163"/>
      <c r="AI171" s="2163"/>
      <c r="AJ171" s="2163"/>
      <c r="AK171" s="2163"/>
      <c r="AL171" s="2163"/>
      <c r="AM171" s="2163"/>
      <c r="AN171" s="2163"/>
      <c r="AO171" s="2163"/>
      <c r="AP171" s="2163"/>
      <c r="AQ171" s="2163"/>
      <c r="AR171" s="2163"/>
      <c r="AS171" s="2163"/>
      <c r="AT171" s="2163"/>
      <c r="AU171" s="2163"/>
      <c r="AV171" s="2163"/>
      <c r="AW171" s="2163"/>
      <c r="AX171" s="2163"/>
      <c r="AY171" s="2163"/>
      <c r="AZ171" s="2163"/>
      <c r="BA171" s="2163"/>
      <c r="BB171" s="2163"/>
      <c r="BC171" s="2163"/>
      <c r="BD171" s="216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5" t="s">
        <v>1927</v>
      </c>
      <c r="C173" s="2166"/>
      <c r="D173" s="2166"/>
      <c r="E173" s="2166"/>
      <c r="F173" s="2166"/>
      <c r="G173" s="2166"/>
      <c r="H173" s="2166"/>
      <c r="I173" s="2166"/>
      <c r="J173" s="2166"/>
      <c r="K173" s="2166"/>
      <c r="L173" s="2166"/>
      <c r="M173" s="2166"/>
      <c r="N173" s="2166"/>
      <c r="O173" s="2166"/>
      <c r="P173" s="2166"/>
      <c r="Q173" s="2166"/>
      <c r="R173" s="2166"/>
      <c r="S173" s="2166"/>
      <c r="T173" s="2166"/>
      <c r="U173" s="2166"/>
      <c r="V173" s="2166"/>
      <c r="W173" s="2166"/>
      <c r="X173" s="2166"/>
      <c r="Y173" s="2166"/>
      <c r="Z173" s="2166"/>
      <c r="AA173" s="2166"/>
      <c r="AB173" s="2166"/>
      <c r="AC173" s="2166"/>
      <c r="AD173" s="2166"/>
      <c r="AE173" s="2166"/>
      <c r="AF173" s="2166"/>
      <c r="AG173" s="2166"/>
      <c r="AH173" s="2166"/>
      <c r="AI173" s="2166"/>
      <c r="AJ173" s="2166"/>
      <c r="AK173" s="2166"/>
      <c r="AL173" s="2166"/>
      <c r="AM173" s="2166"/>
      <c r="AN173" s="2166"/>
      <c r="AO173" s="2166"/>
      <c r="AP173" s="2166"/>
      <c r="AQ173" s="2166"/>
      <c r="AR173" s="2166"/>
      <c r="AS173" s="2166"/>
      <c r="AT173" s="2166"/>
      <c r="AU173" s="2166"/>
      <c r="AV173" s="2166"/>
      <c r="AW173" s="2166"/>
      <c r="AX173" s="2166"/>
      <c r="AY173" s="2166"/>
      <c r="AZ173" s="2166"/>
      <c r="BA173" s="2166"/>
      <c r="BB173" s="2166"/>
      <c r="BC173" s="2166"/>
      <c r="BD173" s="216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68" t="s">
        <v>1929</v>
      </c>
      <c r="I177" s="2168"/>
      <c r="J177" s="2168"/>
      <c r="K177" s="2168"/>
      <c r="L177" s="2168"/>
      <c r="M177" s="2168"/>
      <c r="N177" s="2168"/>
      <c r="O177" s="2168"/>
      <c r="P177" s="2168"/>
      <c r="Q177" s="2168"/>
      <c r="R177" s="2168"/>
      <c r="S177" s="2168"/>
      <c r="T177" s="2168"/>
      <c r="U177" s="2168"/>
      <c r="V177" s="2168"/>
      <c r="W177" s="2168"/>
      <c r="X177" s="2168"/>
      <c r="Y177" s="2168"/>
      <c r="Z177" s="2168"/>
      <c r="AA177" s="2168"/>
      <c r="AB177" s="2168"/>
      <c r="AC177" s="2168"/>
      <c r="AD177" s="2168"/>
      <c r="AE177" s="2168"/>
      <c r="AF177" s="2168"/>
      <c r="AG177" s="2168"/>
      <c r="AH177" s="2168"/>
      <c r="AI177" s="2168"/>
      <c r="AJ177" s="2168"/>
      <c r="AK177" s="2168"/>
      <c r="AL177" s="2168"/>
      <c r="AM177" s="2168"/>
      <c r="AN177" s="2168"/>
      <c r="AO177" s="2168"/>
      <c r="AP177" s="2168"/>
      <c r="AQ177" s="2168"/>
      <c r="AR177" s="2168"/>
      <c r="AS177" s="2168"/>
      <c r="AT177" s="2168"/>
      <c r="AU177" s="2168"/>
      <c r="AV177" s="2168"/>
      <c r="AW177" s="2168"/>
      <c r="AX177" s="2168"/>
      <c r="AY177" s="216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3" t="s">
        <v>2612</v>
      </c>
      <c r="I179" s="2153"/>
      <c r="J179" s="2153"/>
      <c r="K179" s="2153"/>
      <c r="L179" s="2153"/>
      <c r="M179" s="2153"/>
      <c r="N179" s="2153"/>
      <c r="O179" s="2153"/>
      <c r="P179" s="2153"/>
      <c r="Q179" s="2153"/>
      <c r="R179" s="2153"/>
      <c r="S179" s="2153"/>
      <c r="T179" s="2153"/>
      <c r="U179" s="2153"/>
      <c r="V179" s="2153"/>
      <c r="W179" s="2153"/>
      <c r="X179" s="2153"/>
      <c r="Y179" s="2153"/>
      <c r="Z179" s="2153"/>
      <c r="AA179" s="2153"/>
      <c r="AB179" s="2153"/>
      <c r="AC179" s="2153"/>
      <c r="AD179" s="2153"/>
      <c r="AE179" s="2153"/>
      <c r="AF179" s="2153"/>
      <c r="AG179" s="2153"/>
      <c r="AH179" s="2153"/>
      <c r="AI179" s="2153"/>
      <c r="AJ179" s="2153"/>
      <c r="AK179" s="2153"/>
      <c r="AL179" s="2153"/>
      <c r="AM179" s="2153"/>
      <c r="AN179" s="2153"/>
      <c r="AO179" s="2153"/>
      <c r="AP179" s="2153"/>
      <c r="AQ179" s="2153"/>
      <c r="AR179" s="2153"/>
      <c r="AS179" s="2153"/>
      <c r="AT179" s="2153"/>
      <c r="AU179" s="2153"/>
      <c r="AV179" s="2153"/>
      <c r="AW179" s="2153"/>
      <c r="AX179" s="2153"/>
      <c r="AY179" s="2153"/>
      <c r="AZ179" s="2153"/>
      <c r="BA179" s="1207"/>
      <c r="BB179" s="1207"/>
      <c r="BC179" s="1207"/>
      <c r="BD179" s="1213"/>
      <c r="BE179" s="1213"/>
    </row>
    <row r="180" spans="1:57" ht="15.75" customHeight="1">
      <c r="A180" s="1207"/>
      <c r="B180" s="1206"/>
      <c r="C180" s="1207"/>
      <c r="D180" s="1207"/>
      <c r="E180" s="1207"/>
      <c r="F180" s="1207"/>
      <c r="G180" s="1207"/>
      <c r="H180" s="2153"/>
      <c r="I180" s="2153"/>
      <c r="J180" s="2153"/>
      <c r="K180" s="2153"/>
      <c r="L180" s="2153"/>
      <c r="M180" s="2153"/>
      <c r="N180" s="2153"/>
      <c r="O180" s="2153"/>
      <c r="P180" s="2153"/>
      <c r="Q180" s="2153"/>
      <c r="R180" s="2153"/>
      <c r="S180" s="2153"/>
      <c r="T180" s="2153"/>
      <c r="U180" s="2153"/>
      <c r="V180" s="2153"/>
      <c r="W180" s="2153"/>
      <c r="X180" s="2153"/>
      <c r="Y180" s="2153"/>
      <c r="Z180" s="2153"/>
      <c r="AA180" s="2153"/>
      <c r="AB180" s="2153"/>
      <c r="AC180" s="2153"/>
      <c r="AD180" s="2153"/>
      <c r="AE180" s="2153"/>
      <c r="AF180" s="2153"/>
      <c r="AG180" s="2153"/>
      <c r="AH180" s="2153"/>
      <c r="AI180" s="2153"/>
      <c r="AJ180" s="2153"/>
      <c r="AK180" s="2153"/>
      <c r="AL180" s="2153"/>
      <c r="AM180" s="2153"/>
      <c r="AN180" s="2153"/>
      <c r="AO180" s="2153"/>
      <c r="AP180" s="2153"/>
      <c r="AQ180" s="2153"/>
      <c r="AR180" s="2153"/>
      <c r="AS180" s="2153"/>
      <c r="AT180" s="2153"/>
      <c r="AU180" s="2153"/>
      <c r="AV180" s="2153"/>
      <c r="AW180" s="2153"/>
      <c r="AX180" s="2153"/>
      <c r="AY180" s="2153"/>
      <c r="AZ180" s="2153"/>
      <c r="BA180" s="1207"/>
      <c r="BB180" s="1207"/>
      <c r="BC180" s="1207"/>
      <c r="BD180" s="1213"/>
      <c r="BE180" s="1213"/>
    </row>
    <row r="181" spans="1:57" ht="15.75" customHeight="1">
      <c r="A181" s="1207"/>
      <c r="B181" s="1206"/>
      <c r="C181" s="1207"/>
      <c r="D181" s="1207"/>
      <c r="E181" s="1207"/>
      <c r="F181" s="1207"/>
      <c r="G181" s="1207"/>
      <c r="H181" s="2153"/>
      <c r="I181" s="2153"/>
      <c r="J181" s="2153"/>
      <c r="K181" s="2153"/>
      <c r="L181" s="2153"/>
      <c r="M181" s="2153"/>
      <c r="N181" s="2153"/>
      <c r="O181" s="2153"/>
      <c r="P181" s="2153"/>
      <c r="Q181" s="2153"/>
      <c r="R181" s="2153"/>
      <c r="S181" s="2153"/>
      <c r="T181" s="2153"/>
      <c r="U181" s="2153"/>
      <c r="V181" s="2153"/>
      <c r="W181" s="2153"/>
      <c r="X181" s="2153"/>
      <c r="Y181" s="2153"/>
      <c r="Z181" s="2153"/>
      <c r="AA181" s="2153"/>
      <c r="AB181" s="2153"/>
      <c r="AC181" s="2153"/>
      <c r="AD181" s="2153"/>
      <c r="AE181" s="2153"/>
      <c r="AF181" s="2153"/>
      <c r="AG181" s="2153"/>
      <c r="AH181" s="2153"/>
      <c r="AI181" s="2153"/>
      <c r="AJ181" s="2153"/>
      <c r="AK181" s="2153"/>
      <c r="AL181" s="2153"/>
      <c r="AM181" s="2153"/>
      <c r="AN181" s="2153"/>
      <c r="AO181" s="2153"/>
      <c r="AP181" s="2153"/>
      <c r="AQ181" s="2153"/>
      <c r="AR181" s="2153"/>
      <c r="AS181" s="2153"/>
      <c r="AT181" s="2153"/>
      <c r="AU181" s="2153"/>
      <c r="AV181" s="2153"/>
      <c r="AW181" s="2153"/>
      <c r="AX181" s="2153"/>
      <c r="AY181" s="2153"/>
      <c r="AZ181" s="2153"/>
      <c r="BA181" s="1207"/>
      <c r="BB181" s="1207"/>
      <c r="BC181" s="1207"/>
      <c r="BD181" s="1213"/>
      <c r="BE181" s="1213"/>
    </row>
    <row r="182" spans="1:57" ht="15.75" customHeight="1">
      <c r="A182" s="1207"/>
      <c r="B182" s="1206"/>
      <c r="C182" s="1207"/>
      <c r="D182" s="1207"/>
      <c r="E182" s="1207"/>
      <c r="F182" s="1207"/>
      <c r="G182" s="1207"/>
      <c r="H182" s="2153"/>
      <c r="I182" s="2153"/>
      <c r="J182" s="2153"/>
      <c r="K182" s="2153"/>
      <c r="L182" s="2153"/>
      <c r="M182" s="2153"/>
      <c r="N182" s="2153"/>
      <c r="O182" s="2153"/>
      <c r="P182" s="2153"/>
      <c r="Q182" s="2153"/>
      <c r="R182" s="2153"/>
      <c r="S182" s="2153"/>
      <c r="T182" s="2153"/>
      <c r="U182" s="2153"/>
      <c r="V182" s="2153"/>
      <c r="W182" s="2153"/>
      <c r="X182" s="2153"/>
      <c r="Y182" s="2153"/>
      <c r="Z182" s="2153"/>
      <c r="AA182" s="2153"/>
      <c r="AB182" s="2153"/>
      <c r="AC182" s="2153"/>
      <c r="AD182" s="2153"/>
      <c r="AE182" s="2153"/>
      <c r="AF182" s="2153"/>
      <c r="AG182" s="2153"/>
      <c r="AH182" s="2153"/>
      <c r="AI182" s="2153"/>
      <c r="AJ182" s="2153"/>
      <c r="AK182" s="2153"/>
      <c r="AL182" s="2153"/>
      <c r="AM182" s="2153"/>
      <c r="AN182" s="2153"/>
      <c r="AO182" s="2153"/>
      <c r="AP182" s="2153"/>
      <c r="AQ182" s="2153"/>
      <c r="AR182" s="2153"/>
      <c r="AS182" s="2153"/>
      <c r="AT182" s="2153"/>
      <c r="AU182" s="2153"/>
      <c r="AV182" s="2153"/>
      <c r="AW182" s="2153"/>
      <c r="AX182" s="2153"/>
      <c r="AY182" s="2153"/>
      <c r="AZ182" s="215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4" t="s">
        <v>1930</v>
      </c>
      <c r="I184" s="2154"/>
      <c r="J184" s="2154"/>
      <c r="K184" s="2154"/>
      <c r="L184" s="2154"/>
      <c r="M184" s="2154"/>
      <c r="N184" s="2154"/>
      <c r="O184" s="2154"/>
      <c r="P184" s="2154"/>
      <c r="Q184" s="2154"/>
      <c r="R184" s="2154"/>
      <c r="S184" s="2154"/>
      <c r="T184" s="2154"/>
      <c r="U184" s="2154"/>
      <c r="V184" s="2154"/>
      <c r="W184" s="2154"/>
      <c r="X184" s="2154"/>
      <c r="Y184" s="2154"/>
      <c r="Z184" s="2154"/>
      <c r="AA184" s="2154"/>
      <c r="AB184" s="2154"/>
      <c r="AC184" s="2154"/>
      <c r="AD184" s="2154"/>
      <c r="AE184" s="2154"/>
      <c r="AF184" s="2154"/>
      <c r="AG184" s="2154"/>
      <c r="AH184" s="2154"/>
      <c r="AI184" s="2154"/>
      <c r="AJ184" s="2154"/>
      <c r="AK184" s="2154"/>
      <c r="AL184" s="2154"/>
      <c r="AM184" s="2154"/>
      <c r="AN184" s="2154"/>
      <c r="AO184" s="2154"/>
      <c r="AP184" s="2154"/>
      <c r="AQ184" s="2154"/>
      <c r="AR184" s="2154"/>
      <c r="AS184" s="2154"/>
      <c r="AT184" s="2154"/>
      <c r="AU184" s="2154"/>
      <c r="AV184" s="215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4" t="s">
        <v>1931</v>
      </c>
      <c r="I186" s="2144"/>
      <c r="J186" s="2144"/>
      <c r="K186" s="2144"/>
      <c r="L186" s="1222"/>
      <c r="M186" s="1222"/>
      <c r="N186" s="1222"/>
      <c r="O186" s="1222"/>
      <c r="P186" s="1222"/>
      <c r="Q186" s="1222"/>
      <c r="R186" s="1222"/>
      <c r="S186" s="2155"/>
      <c r="T186" s="2151"/>
      <c r="U186" s="2151"/>
      <c r="V186" s="2151"/>
      <c r="W186" s="2151"/>
      <c r="X186" s="2151"/>
      <c r="Y186" s="2151"/>
      <c r="Z186" s="2151"/>
      <c r="AA186" s="2151"/>
      <c r="AB186" s="2151"/>
      <c r="AC186" s="2151"/>
      <c r="AD186" s="2151"/>
      <c r="AE186" s="2151"/>
      <c r="AF186" s="2151"/>
      <c r="AG186" s="2151"/>
      <c r="AH186" s="2151"/>
      <c r="AI186" s="2151"/>
      <c r="AJ186" s="215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4" t="s">
        <v>1932</v>
      </c>
      <c r="I188" s="2144"/>
      <c r="J188" s="2144"/>
      <c r="K188" s="1255"/>
      <c r="L188" s="1222"/>
      <c r="M188" s="1222"/>
      <c r="N188" s="1222"/>
      <c r="O188" s="1222"/>
      <c r="P188" s="1222"/>
      <c r="Q188" s="1222"/>
      <c r="R188" s="1222"/>
      <c r="S188" s="2145"/>
      <c r="T188" s="2146"/>
      <c r="U188" s="2146"/>
      <c r="V188" s="2146"/>
      <c r="W188" s="2146"/>
      <c r="X188" s="2146"/>
      <c r="Y188" s="2146"/>
      <c r="Z188" s="2146"/>
      <c r="AA188" s="2146"/>
      <c r="AB188" s="2146"/>
      <c r="AC188" s="2146"/>
      <c r="AD188" s="2146"/>
      <c r="AE188" s="2146"/>
      <c r="AF188" s="2146"/>
      <c r="AG188" s="2146"/>
      <c r="AH188" s="2146"/>
      <c r="AI188" s="2146"/>
      <c r="AJ188" s="214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4" t="s">
        <v>444</v>
      </c>
      <c r="I190" s="2144"/>
      <c r="J190" s="1255"/>
      <c r="K190" s="1255"/>
      <c r="L190" s="1222"/>
      <c r="M190" s="1222"/>
      <c r="N190" s="1222"/>
      <c r="O190" s="1222"/>
      <c r="P190" s="1222"/>
      <c r="Q190" s="1222"/>
      <c r="R190" s="1222"/>
      <c r="S190" s="2145"/>
      <c r="T190" s="2146"/>
      <c r="U190" s="2146"/>
      <c r="V190" s="2146"/>
      <c r="W190" s="2146"/>
      <c r="X190" s="2146"/>
      <c r="Y190" s="2146"/>
      <c r="Z190" s="2146"/>
      <c r="AA190" s="2146"/>
      <c r="AB190" s="2146"/>
      <c r="AC190" s="2146"/>
      <c r="AD190" s="2146"/>
      <c r="AE190" s="2146"/>
      <c r="AF190" s="2146"/>
      <c r="AG190" s="2146"/>
      <c r="AH190" s="2146"/>
      <c r="AI190" s="2146"/>
      <c r="AJ190" s="214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48" t="s">
        <v>1933</v>
      </c>
      <c r="I192" s="2148"/>
      <c r="J192" s="2148"/>
      <c r="K192" s="2148"/>
      <c r="L192" s="2148"/>
      <c r="M192" s="2148"/>
      <c r="N192" s="2148"/>
      <c r="O192" s="2148"/>
      <c r="P192" s="1222"/>
      <c r="Q192" s="1222"/>
      <c r="R192" s="1222"/>
      <c r="S192" s="2145"/>
      <c r="T192" s="2146"/>
      <c r="U192" s="2146"/>
      <c r="V192" s="2146"/>
      <c r="W192" s="2146"/>
      <c r="X192" s="2146"/>
      <c r="Y192" s="2146"/>
      <c r="Z192" s="2146"/>
      <c r="AA192" s="2146"/>
      <c r="AB192" s="2146"/>
      <c r="AC192" s="2146"/>
      <c r="AD192" s="2146"/>
      <c r="AE192" s="2146"/>
      <c r="AF192" s="2146"/>
      <c r="AG192" s="2146"/>
      <c r="AH192" s="2146"/>
      <c r="AI192" s="2146"/>
      <c r="AJ192" s="214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49" t="s">
        <v>1934</v>
      </c>
      <c r="I194" s="2149"/>
      <c r="J194" s="1222"/>
      <c r="K194" s="1222"/>
      <c r="L194" s="1222"/>
      <c r="M194" s="1222"/>
      <c r="N194" s="1222"/>
      <c r="O194" s="1222"/>
      <c r="P194" s="1222"/>
      <c r="Q194" s="1222"/>
      <c r="R194" s="1222"/>
      <c r="S194" s="2150"/>
      <c r="T194" s="2151"/>
      <c r="U194" s="2151"/>
      <c r="V194" s="2151"/>
      <c r="W194" s="2151"/>
      <c r="X194" s="2151"/>
      <c r="Y194" s="2151"/>
      <c r="Z194" s="2151"/>
      <c r="AA194" s="2151"/>
      <c r="AB194" s="2151"/>
      <c r="AC194" s="2151"/>
      <c r="AD194" s="2151"/>
      <c r="AE194" s="2151"/>
      <c r="AF194" s="2151"/>
      <c r="AG194" s="2151"/>
      <c r="AH194" s="2151"/>
      <c r="AI194" s="2151"/>
      <c r="AJ194" s="215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9" sqref="AB59:AF59"/>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4" t="s">
        <v>1444</v>
      </c>
      <c r="B1" s="2514"/>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row>
    <row r="2" spans="1:40" ht="12.95" customHeight="1" thickBot="1">
      <c r="A2" s="2515"/>
      <c r="B2" s="2515"/>
      <c r="C2" s="2515"/>
      <c r="D2" s="2515"/>
      <c r="E2" s="2515"/>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515"/>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494" t="str">
        <f xml:space="preserve"> IF(T25=100%,'Sources and Basis Breakdown'!G2,'Sources and Basis Breakdown'!F2)</f>
        <v>30% PVC for New Const/
Rehabilitation
DDA/QCT
Building(s)</v>
      </c>
      <c r="U7" s="2494"/>
      <c r="V7" s="2494"/>
      <c r="W7" s="2494"/>
      <c r="X7" s="2494"/>
      <c r="Y7" s="2494" t="str">
        <f>IF(T25=100%," ",'Sources and Basis Breakdown'!G2)</f>
        <v>30% PVC for New Const/
Rehabilitation
NON-DDA/
NON-QCT Building(s)</v>
      </c>
      <c r="Z7" s="2494"/>
      <c r="AA7" s="2494"/>
      <c r="AB7" s="2494"/>
      <c r="AC7" s="2494"/>
      <c r="AD7" s="2494" t="str">
        <f xml:space="preserve"> IF(T25=100%, 'Sources and Basis Breakdown'!J2,'Sources and Basis Breakdown'!I2)</f>
        <v>30% PVC for Acquisition
DDA/QCT Building(s)</v>
      </c>
      <c r="AE7" s="2494"/>
      <c r="AF7" s="2494"/>
      <c r="AG7" s="2494"/>
      <c r="AH7" s="2494"/>
      <c r="AI7" s="2494" t="str">
        <f>IF(T25=100%," ",'Sources and Basis Breakdown'!J2)</f>
        <v>30% PVC for Acquisition
NON-DDA/
NON-QCT Building(s)</v>
      </c>
      <c r="AJ7" s="2494"/>
      <c r="AK7" s="2494"/>
      <c r="AL7" s="2494"/>
      <c r="AM7" s="2494"/>
    </row>
    <row r="8" spans="1:40" ht="12.95" customHeight="1">
      <c r="B8" s="439"/>
      <c r="T8" s="2494"/>
      <c r="U8" s="2494"/>
      <c r="V8" s="2494"/>
      <c r="W8" s="2494"/>
      <c r="X8" s="2494"/>
      <c r="Y8" s="2494"/>
      <c r="Z8" s="2494"/>
      <c r="AA8" s="2494"/>
      <c r="AB8" s="2494"/>
      <c r="AC8" s="2494"/>
      <c r="AD8" s="2494"/>
      <c r="AE8" s="2494"/>
      <c r="AF8" s="2494"/>
      <c r="AG8" s="2494"/>
      <c r="AH8" s="2494"/>
      <c r="AI8" s="2494"/>
      <c r="AJ8" s="2494"/>
      <c r="AK8" s="2494"/>
      <c r="AL8" s="2494"/>
      <c r="AM8" s="2494"/>
    </row>
    <row r="9" spans="1:40" ht="12.95" customHeight="1">
      <c r="B9" s="439"/>
      <c r="T9" s="2494"/>
      <c r="U9" s="2494"/>
      <c r="V9" s="2494"/>
      <c r="W9" s="2494"/>
      <c r="X9" s="2494"/>
      <c r="Y9" s="2494"/>
      <c r="Z9" s="2494"/>
      <c r="AA9" s="2494"/>
      <c r="AB9" s="2494"/>
      <c r="AC9" s="2494"/>
      <c r="AD9" s="2494"/>
      <c r="AE9" s="2494"/>
      <c r="AF9" s="2494"/>
      <c r="AG9" s="2494"/>
      <c r="AH9" s="2494"/>
      <c r="AI9" s="2494"/>
      <c r="AJ9" s="2494"/>
      <c r="AK9" s="2494"/>
      <c r="AL9" s="2494"/>
      <c r="AM9" s="2494"/>
    </row>
    <row r="10" spans="1:40" ht="12.95" customHeight="1">
      <c r="B10" s="440"/>
      <c r="C10" s="441"/>
      <c r="D10" s="441"/>
      <c r="E10" s="441"/>
      <c r="F10" s="441"/>
      <c r="G10" s="441"/>
      <c r="H10" s="441"/>
      <c r="I10" s="441"/>
      <c r="J10" s="441"/>
      <c r="K10" s="441"/>
      <c r="L10" s="441"/>
      <c r="M10" s="441"/>
      <c r="N10" s="441"/>
      <c r="O10" s="441"/>
      <c r="P10" s="441"/>
      <c r="Q10" s="441"/>
      <c r="R10" s="441"/>
      <c r="S10" s="441"/>
      <c r="T10" s="2494"/>
      <c r="U10" s="2494"/>
      <c r="V10" s="2494"/>
      <c r="W10" s="2494"/>
      <c r="X10" s="2494"/>
      <c r="Y10" s="2494"/>
      <c r="Z10" s="2494"/>
      <c r="AA10" s="2494"/>
      <c r="AB10" s="2494"/>
      <c r="AC10" s="2494"/>
      <c r="AD10" s="2494"/>
      <c r="AE10" s="2494"/>
      <c r="AF10" s="2494"/>
      <c r="AG10" s="2494"/>
      <c r="AH10" s="2494"/>
      <c r="AI10" s="2494"/>
      <c r="AJ10" s="2494"/>
      <c r="AK10" s="2494"/>
      <c r="AL10" s="2494"/>
      <c r="AM10" s="2494"/>
    </row>
    <row r="11" spans="1:40" ht="12.95" customHeight="1">
      <c r="B11" s="2477" t="s">
        <v>376</v>
      </c>
      <c r="C11" s="2478"/>
      <c r="D11" s="2478"/>
      <c r="E11" s="2478"/>
      <c r="F11" s="2478"/>
      <c r="G11" s="2478"/>
      <c r="H11" s="2478"/>
      <c r="I11" s="2478"/>
      <c r="J11" s="2478"/>
      <c r="K11" s="2478"/>
      <c r="L11" s="2478"/>
      <c r="M11" s="2478"/>
      <c r="N11" s="2478"/>
      <c r="O11" s="2478"/>
      <c r="P11" s="2478"/>
      <c r="Q11" s="2478"/>
      <c r="R11" s="2478"/>
      <c r="S11" s="2479"/>
      <c r="T11" s="2516">
        <f>IF('Sources and Basis Breakdown'!F107=0,'Sources and Basis Breakdown'!E107,'Sources and Basis Breakdown'!F107)</f>
        <v>43796306</v>
      </c>
      <c r="U11" s="2517"/>
      <c r="V11" s="2517"/>
      <c r="W11" s="2517"/>
      <c r="X11" s="2517"/>
      <c r="Y11" s="2516">
        <f>IF(Y7=" ",0,IF('Sources and Basis Breakdown'!G107+'Sources and Basis Breakdown'!F107='Sources and Basis Breakdown'!E107,'Sources and Basis Breakdown'!G107,0))</f>
        <v>0</v>
      </c>
      <c r="Z11" s="2517"/>
      <c r="AA11" s="2517"/>
      <c r="AB11" s="2517"/>
      <c r="AC11" s="2517"/>
      <c r="AD11" s="2517">
        <f>IF('Sources and Basis Breakdown'!I107=0,'Sources and Basis Breakdown'!H107,'Sources and Basis Breakdown'!I107)</f>
        <v>0</v>
      </c>
      <c r="AE11" s="2517"/>
      <c r="AF11" s="2517"/>
      <c r="AG11" s="2517"/>
      <c r="AH11" s="2517"/>
      <c r="AI11" s="2517">
        <f>IF(Y7=" ",0,IF('Sources and Basis Breakdown'!I107+'Sources and Basis Breakdown'!J107='Sources and Basis Breakdown'!H107,'Sources and Basis Breakdown'!J107,0))</f>
        <v>0</v>
      </c>
      <c r="AJ11" s="2517"/>
      <c r="AK11" s="2517"/>
      <c r="AL11" s="2517"/>
      <c r="AM11" s="2517"/>
    </row>
    <row r="12" spans="1:40" ht="12.95" customHeight="1">
      <c r="B12" s="2518" t="s">
        <v>506</v>
      </c>
      <c r="C12" s="1277"/>
      <c r="D12" s="1277"/>
      <c r="E12" s="1277"/>
      <c r="F12" s="1277"/>
      <c r="G12" s="1277"/>
      <c r="H12" s="1277"/>
      <c r="I12" s="1277"/>
      <c r="J12" s="1277"/>
      <c r="K12" s="1277"/>
      <c r="L12" s="1277"/>
      <c r="M12" s="1277"/>
      <c r="N12" s="1277"/>
      <c r="O12" s="1277"/>
      <c r="P12" s="1277"/>
      <c r="Q12" s="1277"/>
      <c r="R12" s="1277"/>
      <c r="S12" s="2519"/>
      <c r="T12" s="2509"/>
      <c r="U12" s="2510"/>
      <c r="V12" s="2510"/>
      <c r="W12" s="2510"/>
      <c r="X12" s="2511"/>
      <c r="Y12" s="2509"/>
      <c r="Z12" s="2510"/>
      <c r="AA12" s="2510"/>
      <c r="AB12" s="2510"/>
      <c r="AC12" s="2511"/>
      <c r="AD12" s="2509"/>
      <c r="AE12" s="2510"/>
      <c r="AF12" s="2510"/>
      <c r="AG12" s="2510"/>
      <c r="AH12" s="2511"/>
      <c r="AI12" s="2509"/>
      <c r="AJ12" s="2510"/>
      <c r="AK12" s="2510"/>
      <c r="AL12" s="2510"/>
      <c r="AM12" s="2511"/>
    </row>
    <row r="13" spans="1:40" ht="12.95" customHeight="1">
      <c r="B13" s="468"/>
      <c r="C13" s="2520" t="s">
        <v>507</v>
      </c>
      <c r="D13" s="2520"/>
      <c r="E13" s="2520"/>
      <c r="F13" s="2520"/>
      <c r="G13" s="2520"/>
      <c r="H13" s="2520"/>
      <c r="I13" s="2520"/>
      <c r="J13" s="2520"/>
      <c r="K13" s="2520"/>
      <c r="L13" s="2520"/>
      <c r="M13" s="2520"/>
      <c r="N13" s="2520"/>
      <c r="O13" s="2520"/>
      <c r="P13" s="2520"/>
      <c r="Q13" s="2520"/>
      <c r="R13" s="2520"/>
      <c r="S13" s="2521"/>
      <c r="T13" s="2512"/>
      <c r="U13" s="2513"/>
      <c r="V13" s="2513"/>
      <c r="W13" s="2513"/>
      <c r="X13" s="2513"/>
      <c r="Y13" s="2512"/>
      <c r="Z13" s="2513"/>
      <c r="AA13" s="2513"/>
      <c r="AB13" s="2513"/>
      <c r="AC13" s="2513"/>
      <c r="AD13" s="2513"/>
      <c r="AE13" s="2513"/>
      <c r="AF13" s="2513"/>
      <c r="AG13" s="2513"/>
      <c r="AH13" s="2513"/>
      <c r="AI13" s="2513"/>
      <c r="AJ13" s="2513"/>
      <c r="AK13" s="2513"/>
      <c r="AL13" s="2513"/>
      <c r="AM13" s="2513"/>
    </row>
    <row r="14" spans="1:40" ht="12.95" customHeight="1">
      <c r="B14" s="468"/>
      <c r="C14" s="2520" t="s">
        <v>508</v>
      </c>
      <c r="D14" s="2520"/>
      <c r="E14" s="2520"/>
      <c r="F14" s="2520"/>
      <c r="G14" s="2520"/>
      <c r="H14" s="2520"/>
      <c r="I14" s="2520"/>
      <c r="J14" s="2520"/>
      <c r="K14" s="2520"/>
      <c r="L14" s="2520"/>
      <c r="M14" s="2520"/>
      <c r="N14" s="2520"/>
      <c r="O14" s="2520"/>
      <c r="P14" s="2520"/>
      <c r="Q14" s="2520"/>
      <c r="R14" s="2520"/>
      <c r="S14" s="2521"/>
      <c r="T14" s="2502"/>
      <c r="U14" s="2503"/>
      <c r="V14" s="2503"/>
      <c r="W14" s="2503"/>
      <c r="X14" s="2503"/>
      <c r="Y14" s="2502"/>
      <c r="Z14" s="2503"/>
      <c r="AA14" s="2503"/>
      <c r="AB14" s="2503"/>
      <c r="AC14" s="2503"/>
      <c r="AD14" s="2503"/>
      <c r="AE14" s="2503"/>
      <c r="AF14" s="2503"/>
      <c r="AG14" s="2503"/>
      <c r="AH14" s="2503"/>
      <c r="AI14" s="2503"/>
      <c r="AJ14" s="2503"/>
      <c r="AK14" s="2503"/>
      <c r="AL14" s="2503"/>
      <c r="AM14" s="2503"/>
    </row>
    <row r="15" spans="1:40" ht="12.95" customHeight="1">
      <c r="B15" s="468"/>
      <c r="C15" s="2520" t="s">
        <v>509</v>
      </c>
      <c r="D15" s="2520"/>
      <c r="E15" s="2520"/>
      <c r="F15" s="2520"/>
      <c r="G15" s="2520"/>
      <c r="H15" s="2520"/>
      <c r="I15" s="2520"/>
      <c r="J15" s="2520"/>
      <c r="K15" s="2520"/>
      <c r="L15" s="2520"/>
      <c r="M15" s="2520"/>
      <c r="N15" s="2520"/>
      <c r="O15" s="2520"/>
      <c r="P15" s="2520"/>
      <c r="Q15" s="2520"/>
      <c r="R15" s="2520"/>
      <c r="S15" s="2521"/>
      <c r="T15" s="2502"/>
      <c r="U15" s="2503"/>
      <c r="V15" s="2503"/>
      <c r="W15" s="2503"/>
      <c r="X15" s="2503"/>
      <c r="Y15" s="2502"/>
      <c r="Z15" s="2503"/>
      <c r="AA15" s="2503"/>
      <c r="AB15" s="2503"/>
      <c r="AC15" s="2503"/>
      <c r="AD15" s="2503"/>
      <c r="AE15" s="2503"/>
      <c r="AF15" s="2503"/>
      <c r="AG15" s="2503"/>
      <c r="AH15" s="2503"/>
      <c r="AI15" s="2503"/>
      <c r="AJ15" s="2503"/>
      <c r="AK15" s="2503"/>
      <c r="AL15" s="2503"/>
      <c r="AM15" s="2503"/>
    </row>
    <row r="16" spans="1:40" ht="12.95" customHeight="1">
      <c r="B16" s="468"/>
      <c r="C16" s="2520" t="s">
        <v>830</v>
      </c>
      <c r="D16" s="2520"/>
      <c r="E16" s="2520"/>
      <c r="F16" s="2520"/>
      <c r="G16" s="2520"/>
      <c r="H16" s="2520"/>
      <c r="I16" s="2520"/>
      <c r="J16" s="2520"/>
      <c r="K16" s="2520"/>
      <c r="L16" s="2520"/>
      <c r="M16" s="2520"/>
      <c r="N16" s="2520"/>
      <c r="O16" s="2520"/>
      <c r="P16" s="2520"/>
      <c r="Q16" s="2520"/>
      <c r="R16" s="2520"/>
      <c r="S16" s="2521"/>
      <c r="T16" s="2502"/>
      <c r="U16" s="2503"/>
      <c r="V16" s="2503"/>
      <c r="W16" s="2503"/>
      <c r="X16" s="2503"/>
      <c r="Y16" s="2502"/>
      <c r="Z16" s="2503"/>
      <c r="AA16" s="2503"/>
      <c r="AB16" s="2503"/>
      <c r="AC16" s="2503"/>
      <c r="AD16" s="2503"/>
      <c r="AE16" s="2503"/>
      <c r="AF16" s="2503"/>
      <c r="AG16" s="2503"/>
      <c r="AH16" s="2503"/>
      <c r="AI16" s="2503"/>
      <c r="AJ16" s="2503"/>
      <c r="AK16" s="2503"/>
      <c r="AL16" s="2503"/>
      <c r="AM16" s="2503"/>
    </row>
    <row r="17" spans="1:40" ht="12.95" customHeight="1">
      <c r="B17" s="468"/>
      <c r="C17" s="2520" t="s">
        <v>510</v>
      </c>
      <c r="D17" s="2520"/>
      <c r="E17" s="2520"/>
      <c r="F17" s="2520"/>
      <c r="G17" s="2520"/>
      <c r="H17" s="2520"/>
      <c r="I17" s="2520"/>
      <c r="J17" s="2520"/>
      <c r="K17" s="2520"/>
      <c r="L17" s="2520"/>
      <c r="M17" s="2520"/>
      <c r="N17" s="2520"/>
      <c r="O17" s="2520"/>
      <c r="P17" s="2520"/>
      <c r="Q17" s="2520"/>
      <c r="R17" s="2520"/>
      <c r="S17" s="2521"/>
      <c r="T17" s="2502"/>
      <c r="U17" s="2503"/>
      <c r="V17" s="2503"/>
      <c r="W17" s="2503"/>
      <c r="X17" s="2503"/>
      <c r="Y17" s="2502"/>
      <c r="Z17" s="2503"/>
      <c r="AA17" s="2503"/>
      <c r="AB17" s="2503"/>
      <c r="AC17" s="2503"/>
      <c r="AD17" s="2503"/>
      <c r="AE17" s="2503"/>
      <c r="AF17" s="2503"/>
      <c r="AG17" s="2503"/>
      <c r="AH17" s="2503"/>
      <c r="AI17" s="2503"/>
      <c r="AJ17" s="2503"/>
      <c r="AK17" s="2503"/>
      <c r="AL17" s="2503"/>
      <c r="AM17" s="2503"/>
    </row>
    <row r="18" spans="1:40" ht="12.95" customHeight="1">
      <c r="A18"/>
      <c r="B18" s="1203"/>
      <c r="C18" s="1683" t="s">
        <v>1000</v>
      </c>
      <c r="D18" s="1683"/>
      <c r="E18" s="1683"/>
      <c r="F18" s="1683"/>
      <c r="G18" s="1683"/>
      <c r="H18" s="1683"/>
      <c r="I18" s="1683"/>
      <c r="J18" s="1683"/>
      <c r="K18" s="1683"/>
      <c r="L18" s="1683"/>
      <c r="M18" s="1683"/>
      <c r="N18" s="1683"/>
      <c r="O18" s="1683"/>
      <c r="P18" s="1683"/>
      <c r="Q18" s="1683"/>
      <c r="R18" s="1683"/>
      <c r="S18" s="1684"/>
      <c r="T18" s="2502"/>
      <c r="U18" s="2503"/>
      <c r="V18" s="2503"/>
      <c r="W18" s="2503"/>
      <c r="X18" s="2503"/>
      <c r="Y18" s="2502"/>
      <c r="Z18" s="2503"/>
      <c r="AA18" s="2503"/>
      <c r="AB18" s="2503"/>
      <c r="AC18" s="2503"/>
      <c r="AD18" s="2503"/>
      <c r="AE18" s="2503"/>
      <c r="AF18" s="2503"/>
      <c r="AG18" s="2503"/>
      <c r="AH18" s="2503"/>
      <c r="AI18" s="2503"/>
      <c r="AJ18" s="2503"/>
      <c r="AK18" s="2503"/>
      <c r="AL18" s="2503"/>
      <c r="AM18" s="2503"/>
    </row>
    <row r="19" spans="1:40" ht="12.95" customHeight="1">
      <c r="B19" s="1203"/>
      <c r="C19" s="1683" t="s">
        <v>1000</v>
      </c>
      <c r="D19" s="1683"/>
      <c r="E19" s="1683"/>
      <c r="F19" s="1683"/>
      <c r="G19" s="1683"/>
      <c r="H19" s="1683"/>
      <c r="I19" s="1683"/>
      <c r="J19" s="1683"/>
      <c r="K19" s="1683"/>
      <c r="L19" s="1683"/>
      <c r="M19" s="1683"/>
      <c r="N19" s="1683"/>
      <c r="O19" s="1683"/>
      <c r="P19" s="1683"/>
      <c r="Q19" s="1683"/>
      <c r="R19" s="1683"/>
      <c r="S19" s="1684"/>
      <c r="T19" s="2502"/>
      <c r="U19" s="2503"/>
      <c r="V19" s="2503"/>
      <c r="W19" s="2503"/>
      <c r="X19" s="2503"/>
      <c r="Y19" s="2502"/>
      <c r="Z19" s="2503"/>
      <c r="AA19" s="2503"/>
      <c r="AB19" s="2503"/>
      <c r="AC19" s="2503"/>
      <c r="AD19" s="2503"/>
      <c r="AE19" s="2503"/>
      <c r="AF19" s="2503"/>
      <c r="AG19" s="2503"/>
      <c r="AH19" s="2503"/>
      <c r="AI19" s="2503"/>
      <c r="AJ19" s="2503"/>
      <c r="AK19" s="2503"/>
      <c r="AL19" s="2503"/>
      <c r="AM19" s="2503"/>
    </row>
    <row r="20" spans="1:40" ht="12.95" customHeight="1">
      <c r="B20" s="2477" t="s">
        <v>511</v>
      </c>
      <c r="C20" s="2478"/>
      <c r="D20" s="2478"/>
      <c r="E20" s="2478"/>
      <c r="F20" s="2478"/>
      <c r="G20" s="2478"/>
      <c r="H20" s="2478"/>
      <c r="I20" s="2478"/>
      <c r="J20" s="2478"/>
      <c r="K20" s="2478"/>
      <c r="L20" s="2478"/>
      <c r="M20" s="2478"/>
      <c r="N20" s="2478"/>
      <c r="O20" s="2478"/>
      <c r="P20" s="2478"/>
      <c r="Q20" s="2478"/>
      <c r="R20" s="2478"/>
      <c r="S20" s="2479"/>
      <c r="T20" s="2493">
        <f>SUM(T13:X19)</f>
        <v>0</v>
      </c>
      <c r="U20" s="2471"/>
      <c r="V20" s="2471"/>
      <c r="W20" s="2471"/>
      <c r="X20" s="2471"/>
      <c r="Y20" s="2493">
        <f>SUM(Y13:AC19)</f>
        <v>0</v>
      </c>
      <c r="Z20" s="2471"/>
      <c r="AA20" s="2471"/>
      <c r="AB20" s="2471"/>
      <c r="AC20" s="2471"/>
      <c r="AD20" s="2481">
        <f>SUM(AD13:AH19)</f>
        <v>0</v>
      </c>
      <c r="AE20" s="2492"/>
      <c r="AF20" s="2492"/>
      <c r="AG20" s="2492"/>
      <c r="AH20" s="2493"/>
      <c r="AI20" s="2481">
        <f>SUM(AI13:AM19)</f>
        <v>0</v>
      </c>
      <c r="AJ20" s="2492"/>
      <c r="AK20" s="2492"/>
      <c r="AL20" s="2492"/>
      <c r="AM20" s="2493"/>
    </row>
    <row r="21" spans="1:40" ht="12.95" customHeight="1">
      <c r="B21" s="2477" t="s">
        <v>1421</v>
      </c>
      <c r="C21" s="2478"/>
      <c r="D21" s="2478"/>
      <c r="E21" s="2478"/>
      <c r="F21" s="2478"/>
      <c r="G21" s="2478"/>
      <c r="H21" s="2478"/>
      <c r="I21" s="2478"/>
      <c r="J21" s="2478"/>
      <c r="K21" s="2478"/>
      <c r="L21" s="2478"/>
      <c r="M21" s="2478"/>
      <c r="N21" s="2478"/>
      <c r="O21" s="2478"/>
      <c r="P21" s="2478"/>
      <c r="Q21" s="2478"/>
      <c r="R21" s="2478"/>
      <c r="S21" s="2479"/>
      <c r="T21" s="2502"/>
      <c r="U21" s="2503"/>
      <c r="V21" s="2503"/>
      <c r="W21" s="2503"/>
      <c r="X21" s="2503"/>
      <c r="Y21" s="2502"/>
      <c r="Z21" s="2503"/>
      <c r="AA21" s="2503"/>
      <c r="AB21" s="2503"/>
      <c r="AC21" s="2503"/>
      <c r="AD21" s="2509"/>
      <c r="AE21" s="2510"/>
      <c r="AF21" s="2510"/>
      <c r="AG21" s="2510"/>
      <c r="AH21" s="2511"/>
      <c r="AI21" s="2509"/>
      <c r="AJ21" s="2510"/>
      <c r="AK21" s="2510"/>
      <c r="AL21" s="2510"/>
      <c r="AM21" s="2511"/>
    </row>
    <row r="22" spans="1:40" ht="12.95" customHeight="1">
      <c r="B22" s="2477" t="s">
        <v>512</v>
      </c>
      <c r="C22" s="2478"/>
      <c r="D22" s="2478"/>
      <c r="E22" s="2478"/>
      <c r="F22" s="2478"/>
      <c r="G22" s="2478"/>
      <c r="H22" s="2478"/>
      <c r="I22" s="2478"/>
      <c r="J22" s="2478"/>
      <c r="K22" s="2478"/>
      <c r="L22" s="2478"/>
      <c r="M22" s="2478"/>
      <c r="N22" s="2478"/>
      <c r="O22" s="2478"/>
      <c r="P22" s="2478"/>
      <c r="Q22" s="2478"/>
      <c r="R22" s="2478"/>
      <c r="S22" s="2479"/>
      <c r="T22" s="2498">
        <f>(T20+T21)*-1</f>
        <v>0</v>
      </c>
      <c r="U22" s="2499"/>
      <c r="V22" s="2499"/>
      <c r="W22" s="2499"/>
      <c r="X22" s="2499"/>
      <c r="Y22" s="2498">
        <f>(Y20+Y21)*-1</f>
        <v>0</v>
      </c>
      <c r="Z22" s="2499"/>
      <c r="AA22" s="2499"/>
      <c r="AB22" s="2499"/>
      <c r="AC22" s="2499"/>
      <c r="AD22" s="2500">
        <f>(AD20)*-1</f>
        <v>0</v>
      </c>
      <c r="AE22" s="2501"/>
      <c r="AF22" s="2501"/>
      <c r="AG22" s="2501"/>
      <c r="AH22" s="2498"/>
      <c r="AI22" s="2500">
        <f>(AI20)*-1</f>
        <v>0</v>
      </c>
      <c r="AJ22" s="2501"/>
      <c r="AK22" s="2501"/>
      <c r="AL22" s="2501"/>
      <c r="AM22" s="2498"/>
    </row>
    <row r="23" spans="1:40" ht="12.95" customHeight="1">
      <c r="B23" s="2477" t="s">
        <v>513</v>
      </c>
      <c r="C23" s="2478"/>
      <c r="D23" s="2478"/>
      <c r="E23" s="2478"/>
      <c r="F23" s="2478"/>
      <c r="G23" s="2478"/>
      <c r="H23" s="2478"/>
      <c r="I23" s="2478"/>
      <c r="J23" s="2478"/>
      <c r="K23" s="2478"/>
      <c r="L23" s="2478"/>
      <c r="M23" s="2478"/>
      <c r="N23" s="2478"/>
      <c r="O23" s="2478"/>
      <c r="P23" s="2478"/>
      <c r="Q23" s="2478"/>
      <c r="R23" s="2478"/>
      <c r="S23" s="2479"/>
      <c r="T23" s="2493">
        <f>T11+T22</f>
        <v>43796306</v>
      </c>
      <c r="U23" s="2471"/>
      <c r="V23" s="2471"/>
      <c r="W23" s="2471"/>
      <c r="X23" s="2471"/>
      <c r="Y23" s="2493">
        <f>Y11+Y22</f>
        <v>0</v>
      </c>
      <c r="Z23" s="2471"/>
      <c r="AA23" s="2471"/>
      <c r="AB23" s="2471"/>
      <c r="AC23" s="2471"/>
      <c r="AD23" s="2493">
        <f>AD11+AD22</f>
        <v>0</v>
      </c>
      <c r="AE23" s="2471"/>
      <c r="AF23" s="2471"/>
      <c r="AG23" s="2471"/>
      <c r="AH23" s="2471"/>
      <c r="AI23" s="2493">
        <f>AI11+AI22</f>
        <v>0</v>
      </c>
      <c r="AJ23" s="2471"/>
      <c r="AK23" s="2471"/>
      <c r="AL23" s="2471"/>
      <c r="AM23" s="2471"/>
    </row>
    <row r="24" spans="1:40" ht="12.95" customHeight="1">
      <c r="B24" s="2477" t="s">
        <v>1001</v>
      </c>
      <c r="C24" s="2478"/>
      <c r="D24" s="2478"/>
      <c r="E24" s="2478"/>
      <c r="F24" s="2478"/>
      <c r="G24" s="2478"/>
      <c r="H24" s="2478"/>
      <c r="I24" s="2478"/>
      <c r="J24" s="2478"/>
      <c r="K24" s="2478"/>
      <c r="L24" s="2478"/>
      <c r="M24" s="2478"/>
      <c r="N24" s="2478"/>
      <c r="O24" s="2478"/>
      <c r="P24" s="2478"/>
      <c r="Q24" s="2478"/>
      <c r="R24" s="2478"/>
      <c r="S24" s="2479"/>
      <c r="T24" s="2481">
        <f>Application!AJ1018</f>
        <v>100415335.60000001</v>
      </c>
      <c r="U24" s="2492"/>
      <c r="V24" s="2492"/>
      <c r="W24" s="2492"/>
      <c r="X24" s="2492"/>
      <c r="Y24" s="2492"/>
      <c r="Z24" s="2492"/>
      <c r="AA24" s="2492"/>
      <c r="AB24" s="2492"/>
      <c r="AC24" s="2492"/>
      <c r="AD24" s="2492"/>
      <c r="AE24" s="2492"/>
      <c r="AF24" s="2492"/>
      <c r="AG24" s="2492"/>
      <c r="AH24" s="2492"/>
      <c r="AI24" s="2492"/>
      <c r="AJ24" s="2492"/>
      <c r="AK24" s="2492"/>
      <c r="AL24" s="2492"/>
      <c r="AM24" s="2493"/>
    </row>
    <row r="25" spans="1:40" ht="12.95" customHeight="1">
      <c r="B25" s="2524" t="s">
        <v>1422</v>
      </c>
      <c r="C25" s="2525"/>
      <c r="D25" s="2525"/>
      <c r="E25" s="2525"/>
      <c r="F25" s="2525"/>
      <c r="G25" s="2525"/>
      <c r="H25" s="2525"/>
      <c r="I25" s="2525"/>
      <c r="J25" s="2525"/>
      <c r="K25" s="2525"/>
      <c r="L25" s="2525"/>
      <c r="M25" s="2525"/>
      <c r="N25" s="2525"/>
      <c r="O25" s="2525"/>
      <c r="P25" s="2525"/>
      <c r="Q25" s="2525"/>
      <c r="R25" s="2525"/>
      <c r="S25" s="2526"/>
      <c r="T25" s="2506">
        <f>IF(OR(Application!T195="yes",Application!T194="yes"),1.3,1)</f>
        <v>1.3</v>
      </c>
      <c r="U25" s="2507"/>
      <c r="V25" s="2507"/>
      <c r="W25" s="2507"/>
      <c r="X25" s="2507"/>
      <c r="Y25" s="2506">
        <v>1</v>
      </c>
      <c r="Z25" s="2507"/>
      <c r="AA25" s="2507"/>
      <c r="AB25" s="2507"/>
      <c r="AC25" s="2507"/>
      <c r="AD25" s="2506">
        <v>1</v>
      </c>
      <c r="AE25" s="2507"/>
      <c r="AF25" s="2507"/>
      <c r="AG25" s="2507"/>
      <c r="AH25" s="2508"/>
      <c r="AI25" s="2506">
        <v>1</v>
      </c>
      <c r="AJ25" s="2507"/>
      <c r="AK25" s="2507"/>
      <c r="AL25" s="2507"/>
      <c r="AM25" s="2508"/>
    </row>
    <row r="26" spans="1:40" ht="12.95" customHeight="1">
      <c r="B26" s="2477" t="s">
        <v>514</v>
      </c>
      <c r="C26" s="2478"/>
      <c r="D26" s="2478"/>
      <c r="E26" s="2478"/>
      <c r="F26" s="2478"/>
      <c r="G26" s="2478"/>
      <c r="H26" s="2478"/>
      <c r="I26" s="2478"/>
      <c r="J26" s="2478"/>
      <c r="K26" s="2478"/>
      <c r="L26" s="2478"/>
      <c r="M26" s="2478"/>
      <c r="N26" s="2478"/>
      <c r="O26" s="2478"/>
      <c r="P26" s="2478"/>
      <c r="Q26" s="2478"/>
      <c r="R26" s="2478"/>
      <c r="S26" s="2479"/>
      <c r="T26" s="2493">
        <f>T23*T25</f>
        <v>56935197.800000004</v>
      </c>
      <c r="U26" s="2471"/>
      <c r="V26" s="2471"/>
      <c r="W26" s="2471"/>
      <c r="X26" s="2471"/>
      <c r="Y26" s="2493">
        <f>Y23*Y25</f>
        <v>0</v>
      </c>
      <c r="Z26" s="2471"/>
      <c r="AA26" s="2471"/>
      <c r="AB26" s="2471"/>
      <c r="AC26" s="2471"/>
      <c r="AD26" s="2493">
        <f>AD23*AD25</f>
        <v>0</v>
      </c>
      <c r="AE26" s="2471"/>
      <c r="AF26" s="2471"/>
      <c r="AG26" s="2471"/>
      <c r="AH26" s="2471"/>
      <c r="AI26" s="2493">
        <f>AI23*AI25</f>
        <v>0</v>
      </c>
      <c r="AJ26" s="2471"/>
      <c r="AK26" s="2471"/>
      <c r="AL26" s="2471"/>
      <c r="AM26" s="2471"/>
    </row>
    <row r="27" spans="1:40" ht="12.95" customHeight="1">
      <c r="A27" s="442"/>
      <c r="B27" s="2527" t="s">
        <v>427</v>
      </c>
      <c r="C27" s="2528"/>
      <c r="D27" s="2528"/>
      <c r="E27" s="2528"/>
      <c r="F27" s="2528"/>
      <c r="G27" s="2528"/>
      <c r="H27" s="2528"/>
      <c r="I27" s="2528"/>
      <c r="J27" s="2528"/>
      <c r="K27" s="2528"/>
      <c r="L27" s="2528"/>
      <c r="M27" s="2528"/>
      <c r="N27" s="2528"/>
      <c r="O27" s="2528"/>
      <c r="P27" s="2528"/>
      <c r="Q27" s="2528"/>
      <c r="R27" s="2528"/>
      <c r="S27" s="2529"/>
      <c r="T27" s="2504">
        <f>Application!$AG$444</f>
        <v>1</v>
      </c>
      <c r="U27" s="2505"/>
      <c r="V27" s="2505"/>
      <c r="W27" s="2505"/>
      <c r="X27" s="2505"/>
      <c r="Y27" s="2504">
        <f>Application!$AG$444</f>
        <v>1</v>
      </c>
      <c r="Z27" s="2505"/>
      <c r="AA27" s="2505"/>
      <c r="AB27" s="2505"/>
      <c r="AC27" s="2505"/>
      <c r="AD27" s="2504">
        <f>Application!$AG$444</f>
        <v>1</v>
      </c>
      <c r="AE27" s="2505"/>
      <c r="AF27" s="2505"/>
      <c r="AG27" s="2505"/>
      <c r="AH27" s="2505"/>
      <c r="AI27" s="2504">
        <f>Application!$AG$444</f>
        <v>1</v>
      </c>
      <c r="AJ27" s="2505"/>
      <c r="AK27" s="2505"/>
      <c r="AL27" s="2505"/>
      <c r="AM27" s="2505"/>
    </row>
    <row r="28" spans="1:40" ht="12.95" customHeight="1">
      <c r="A28" s="436"/>
      <c r="B28" s="2477" t="s">
        <v>515</v>
      </c>
      <c r="C28" s="2478"/>
      <c r="D28" s="2478"/>
      <c r="E28" s="2478"/>
      <c r="F28" s="2478"/>
      <c r="G28" s="2478"/>
      <c r="H28" s="2478"/>
      <c r="I28" s="2478"/>
      <c r="J28" s="2478"/>
      <c r="K28" s="2478"/>
      <c r="L28" s="2478"/>
      <c r="M28" s="2478"/>
      <c r="N28" s="2478"/>
      <c r="O28" s="2478"/>
      <c r="P28" s="2478"/>
      <c r="Q28" s="2478"/>
      <c r="R28" s="2478"/>
      <c r="S28" s="2479"/>
      <c r="T28" s="2493">
        <f>IF(ISERROR((T26*T27)),0,(T26*T27))</f>
        <v>56935197.800000004</v>
      </c>
      <c r="U28" s="2471"/>
      <c r="V28" s="2471"/>
      <c r="W28" s="2471"/>
      <c r="X28" s="2471"/>
      <c r="Y28" s="2493">
        <f>IF(ISERROR((Y26*Y27)),0,(Y26*Y27))</f>
        <v>0</v>
      </c>
      <c r="Z28" s="2471"/>
      <c r="AA28" s="2471"/>
      <c r="AB28" s="2471"/>
      <c r="AC28" s="2471"/>
      <c r="AD28" s="2493">
        <f>IF(ISERROR((AD26*AD27)),0,(AD26*AD27))</f>
        <v>0</v>
      </c>
      <c r="AE28" s="2471"/>
      <c r="AF28" s="2471"/>
      <c r="AG28" s="2471"/>
      <c r="AH28" s="2471"/>
      <c r="AI28" s="2493">
        <f>IF(ISERROR((AI26*AI27)),0,(AI26*AI27))</f>
        <v>0</v>
      </c>
      <c r="AJ28" s="2471"/>
      <c r="AK28" s="2471"/>
      <c r="AL28" s="2471"/>
      <c r="AM28" s="2471"/>
    </row>
    <row r="29" spans="1:40" ht="12.95" customHeight="1">
      <c r="B29" s="2477" t="s">
        <v>532</v>
      </c>
      <c r="C29" s="2478"/>
      <c r="D29" s="2478"/>
      <c r="E29" s="2478"/>
      <c r="F29" s="2478"/>
      <c r="G29" s="2478"/>
      <c r="H29" s="2478"/>
      <c r="I29" s="2478"/>
      <c r="J29" s="2478"/>
      <c r="K29" s="2478"/>
      <c r="L29" s="2478"/>
      <c r="M29" s="2478"/>
      <c r="N29" s="2478"/>
      <c r="O29" s="2478"/>
      <c r="P29" s="2478"/>
      <c r="Q29" s="2478"/>
      <c r="R29" s="2478"/>
      <c r="S29" s="2479"/>
      <c r="T29" s="2481">
        <f>T28+Y28+AD28+AI28</f>
        <v>56935197.800000004</v>
      </c>
      <c r="U29" s="2492"/>
      <c r="V29" s="2492"/>
      <c r="W29" s="2492"/>
      <c r="X29" s="2492"/>
      <c r="Y29" s="2492"/>
      <c r="Z29" s="2492"/>
      <c r="AA29" s="2492"/>
      <c r="AB29" s="2492"/>
      <c r="AC29" s="2492"/>
      <c r="AD29" s="2492"/>
      <c r="AE29" s="2492"/>
      <c r="AF29" s="2492"/>
      <c r="AG29" s="2492"/>
      <c r="AH29" s="2492"/>
      <c r="AI29" s="2492"/>
      <c r="AJ29" s="2492"/>
      <c r="AK29" s="2492"/>
      <c r="AL29" s="2492"/>
      <c r="AM29" s="2493"/>
    </row>
    <row r="30" spans="1:40" ht="12.95" customHeight="1">
      <c r="B30" s="2497" t="s">
        <v>1424</v>
      </c>
      <c r="C30" s="2497"/>
      <c r="D30" s="2497"/>
      <c r="E30" s="2497"/>
      <c r="F30" s="2497"/>
      <c r="G30" s="2497"/>
      <c r="H30" s="2497"/>
      <c r="I30" s="2497"/>
      <c r="J30" s="2497"/>
      <c r="K30" s="2497"/>
      <c r="L30" s="2497"/>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row>
    <row r="31" spans="1:40" ht="12.95" customHeight="1">
      <c r="B31" s="2497" t="s">
        <v>1423</v>
      </c>
      <c r="C31" s="2497"/>
      <c r="D31" s="2497"/>
      <c r="E31" s="2497"/>
      <c r="F31" s="2497"/>
      <c r="G31" s="2497"/>
      <c r="H31" s="2497"/>
      <c r="I31" s="2497"/>
      <c r="J31" s="2497"/>
      <c r="K31" s="2497"/>
      <c r="L31" s="2497"/>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4" t="s">
        <v>1293</v>
      </c>
      <c r="Z35" s="2494"/>
      <c r="AA35" s="2494"/>
      <c r="AB35" s="2494"/>
      <c r="AC35" s="2494"/>
      <c r="AD35" s="2495" t="s">
        <v>370</v>
      </c>
      <c r="AE35" s="2495"/>
      <c r="AF35" s="2495"/>
      <c r="AG35" s="2495"/>
      <c r="AH35" s="2495"/>
    </row>
    <row r="36" spans="1:76" ht="12.95" customHeight="1">
      <c r="B36" s="439"/>
      <c r="X36" s="444"/>
      <c r="Y36" s="2494"/>
      <c r="Z36" s="2494"/>
      <c r="AA36" s="2494"/>
      <c r="AB36" s="2494"/>
      <c r="AC36" s="2494"/>
      <c r="AD36" s="2495"/>
      <c r="AE36" s="2495"/>
      <c r="AF36" s="2495"/>
      <c r="AG36" s="2495"/>
      <c r="AH36" s="2495"/>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4"/>
      <c r="Z37" s="2494"/>
      <c r="AA37" s="2494"/>
      <c r="AB37" s="2494"/>
      <c r="AC37" s="2494"/>
      <c r="AD37" s="2495"/>
      <c r="AE37" s="2495"/>
      <c r="AF37" s="2495"/>
      <c r="AG37" s="2495"/>
      <c r="AH37" s="2495"/>
    </row>
    <row r="38" spans="1:76" ht="12.95" customHeight="1">
      <c r="A38" s="436"/>
      <c r="B38" s="2477" t="s">
        <v>515</v>
      </c>
      <c r="C38" s="2478"/>
      <c r="D38" s="2478"/>
      <c r="E38" s="2478"/>
      <c r="F38" s="2478"/>
      <c r="G38" s="2478"/>
      <c r="H38" s="2478"/>
      <c r="I38" s="2478"/>
      <c r="J38" s="2478"/>
      <c r="K38" s="2478"/>
      <c r="L38" s="2478"/>
      <c r="M38" s="2478"/>
      <c r="N38" s="2478"/>
      <c r="O38" s="2478"/>
      <c r="P38" s="2478"/>
      <c r="Q38" s="2478"/>
      <c r="R38" s="2478"/>
      <c r="S38" s="2478"/>
      <c r="T38" s="2478"/>
      <c r="U38" s="2478"/>
      <c r="V38" s="2478"/>
      <c r="W38" s="2478"/>
      <c r="X38" s="2479"/>
      <c r="Y38" s="2471">
        <f>IF(T24&gt;=(T23+Y23+AD23+AI23),T28+Y28,0)</f>
        <v>56935197.800000004</v>
      </c>
      <c r="Z38" s="2471"/>
      <c r="AA38" s="2471"/>
      <c r="AB38" s="2471"/>
      <c r="AC38" s="2471"/>
      <c r="AD38" s="2471">
        <f>IF(T24&gt;=(T23+Y23+AD23+AI23),AD28+AI28,0)</f>
        <v>0</v>
      </c>
      <c r="AE38" s="2471"/>
      <c r="AF38" s="2471"/>
      <c r="AG38" s="2471"/>
      <c r="AH38" s="2471"/>
    </row>
    <row r="39" spans="1:76" ht="12.95" customHeight="1">
      <c r="B39" s="2477" t="s">
        <v>1951</v>
      </c>
      <c r="C39" s="2478"/>
      <c r="D39" s="2478"/>
      <c r="E39" s="2478"/>
      <c r="F39" s="2478"/>
      <c r="G39" s="2478"/>
      <c r="H39" s="2478"/>
      <c r="I39" s="2478"/>
      <c r="J39" s="2478"/>
      <c r="K39" s="2478"/>
      <c r="L39" s="2478"/>
      <c r="M39" s="2478"/>
      <c r="N39" s="2478"/>
      <c r="O39" s="2478"/>
      <c r="P39" s="2478"/>
      <c r="Q39" s="2478"/>
      <c r="R39" s="2478"/>
      <c r="S39" s="2478"/>
      <c r="T39" s="2478"/>
      <c r="U39" s="2478"/>
      <c r="V39" s="2478"/>
      <c r="W39" s="2478"/>
      <c r="X39" s="2479"/>
      <c r="Y39" s="2496">
        <v>0.04</v>
      </c>
      <c r="Z39" s="2496"/>
      <c r="AA39" s="2496"/>
      <c r="AB39" s="2496"/>
      <c r="AC39" s="2496"/>
      <c r="AD39" s="2496">
        <v>0.04</v>
      </c>
      <c r="AE39" s="2496"/>
      <c r="AF39" s="2496"/>
      <c r="AG39" s="2496"/>
      <c r="AH39" s="2496"/>
    </row>
    <row r="40" spans="1:76" ht="12.95" customHeight="1">
      <c r="A40" s="436"/>
      <c r="B40" s="2477" t="s">
        <v>651</v>
      </c>
      <c r="C40" s="2478"/>
      <c r="D40" s="2478"/>
      <c r="E40" s="2478"/>
      <c r="F40" s="2478"/>
      <c r="G40" s="2478"/>
      <c r="H40" s="2478"/>
      <c r="I40" s="2478"/>
      <c r="J40" s="2478"/>
      <c r="K40" s="2478"/>
      <c r="L40" s="2478"/>
      <c r="M40" s="2478"/>
      <c r="N40" s="2478"/>
      <c r="O40" s="2478"/>
      <c r="P40" s="2478"/>
      <c r="Q40" s="2478"/>
      <c r="R40" s="2478"/>
      <c r="S40" s="2478"/>
      <c r="T40" s="2478"/>
      <c r="U40" s="2478"/>
      <c r="V40" s="2478"/>
      <c r="W40" s="2478"/>
      <c r="X40" s="2479"/>
      <c r="Y40" s="2471">
        <f>ROUND(Y38*Y39,0)</f>
        <v>2277408</v>
      </c>
      <c r="Z40" s="2471"/>
      <c r="AA40" s="2471"/>
      <c r="AB40" s="2471"/>
      <c r="AC40" s="2471"/>
      <c r="AD40" s="2493">
        <f>ROUND(AD38*AD39,0)</f>
        <v>0</v>
      </c>
      <c r="AE40" s="2471"/>
      <c r="AF40" s="2471"/>
      <c r="AG40" s="2471"/>
      <c r="AH40" s="2471"/>
    </row>
    <row r="41" spans="1:76" ht="12.95" customHeight="1">
      <c r="B41" s="2477" t="s">
        <v>652</v>
      </c>
      <c r="C41" s="2478"/>
      <c r="D41" s="2478"/>
      <c r="E41" s="2478"/>
      <c r="F41" s="2478"/>
      <c r="G41" s="2478"/>
      <c r="H41" s="2478"/>
      <c r="I41" s="2478"/>
      <c r="J41" s="2478"/>
      <c r="K41" s="2478"/>
      <c r="L41" s="2478"/>
      <c r="M41" s="2478"/>
      <c r="N41" s="2478"/>
      <c r="O41" s="2478"/>
      <c r="P41" s="2478"/>
      <c r="Q41" s="2478"/>
      <c r="R41" s="2478"/>
      <c r="S41" s="2478"/>
      <c r="T41" s="2478"/>
      <c r="U41" s="2478"/>
      <c r="V41" s="2478"/>
      <c r="W41" s="2478"/>
      <c r="X41" s="2479"/>
      <c r="Y41" s="2481">
        <f>Y40+AD40</f>
        <v>2277408</v>
      </c>
      <c r="Z41" s="2492"/>
      <c r="AA41" s="2492"/>
      <c r="AB41" s="2492"/>
      <c r="AC41" s="2492"/>
      <c r="AD41" s="2492"/>
      <c r="AE41" s="2492"/>
      <c r="AF41" s="2492"/>
      <c r="AG41" s="2492"/>
      <c r="AH41" s="249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1" t="s">
        <v>1434</v>
      </c>
      <c r="B44" s="2491"/>
      <c r="C44" s="2491"/>
      <c r="D44" s="2491"/>
      <c r="E44" s="2491"/>
      <c r="F44" s="2491"/>
      <c r="G44" s="2491"/>
      <c r="H44" s="2491"/>
      <c r="I44" s="2491"/>
      <c r="J44" s="2491"/>
      <c r="K44" s="2491"/>
      <c r="L44" s="2491"/>
      <c r="M44" s="2491"/>
      <c r="N44" s="2491"/>
      <c r="O44" s="2491"/>
      <c r="P44" s="2491"/>
      <c r="Q44" s="2491"/>
      <c r="R44" s="2491"/>
      <c r="S44" s="2491"/>
      <c r="T44" s="2491"/>
      <c r="U44" s="2491"/>
      <c r="V44" s="2491"/>
      <c r="W44" s="2491"/>
      <c r="X44" s="2491"/>
      <c r="Y44" s="2491"/>
      <c r="Z44" s="2491"/>
      <c r="AA44" s="2491"/>
      <c r="AB44" s="2491"/>
      <c r="AC44" s="2491"/>
      <c r="AD44" s="2491"/>
      <c r="AE44" s="2491"/>
      <c r="AF44" s="2491"/>
      <c r="AG44" s="2491"/>
      <c r="AH44" s="2491"/>
      <c r="AI44" s="2491"/>
      <c r="AJ44" s="2491"/>
      <c r="AK44" s="2491"/>
      <c r="AL44" s="2491"/>
      <c r="AM44" s="2491"/>
      <c r="AN44" s="2491"/>
      <c r="AO44" s="2491"/>
      <c r="AP44" s="2491"/>
      <c r="AQ44" s="2491"/>
      <c r="AR44" s="2491"/>
      <c r="AS44" s="2491"/>
      <c r="AT44" s="2491"/>
      <c r="AU44" s="2491"/>
      <c r="AV44" s="2491"/>
      <c r="AW44" s="2491"/>
      <c r="AX44" s="2491"/>
      <c r="AY44" s="2491"/>
      <c r="AZ44" s="2491"/>
      <c r="BA44" s="2491"/>
      <c r="BB44" s="2491"/>
      <c r="BC44" s="2491"/>
      <c r="BD44" s="2491"/>
      <c r="BE44" s="2491"/>
      <c r="BF44" s="2491"/>
      <c r="BG44" s="2491"/>
      <c r="BH44" s="2491"/>
      <c r="BI44" s="2491"/>
      <c r="BJ44" s="2491"/>
      <c r="BK44" s="2491"/>
      <c r="BL44" s="2491"/>
      <c r="BM44" s="2491"/>
      <c r="BN44" s="2491"/>
      <c r="BO44" s="2491"/>
      <c r="BP44" s="2491"/>
      <c r="BQ44" s="2491"/>
      <c r="BR44" s="2491"/>
      <c r="BS44" s="2491"/>
      <c r="BT44" s="2491"/>
      <c r="BU44" s="2491"/>
      <c r="BV44" s="2491"/>
      <c r="BW44" s="2491"/>
      <c r="BX44" s="2491"/>
    </row>
    <row r="45" spans="1:76" s="218" customFormat="1" ht="12.95" customHeight="1" thickTop="1"/>
    <row r="46" spans="1:76" ht="12.95" customHeight="1">
      <c r="A46" s="436" t="s">
        <v>595</v>
      </c>
      <c r="C46" s="436" t="s">
        <v>283</v>
      </c>
    </row>
    <row r="47" spans="1:76" ht="12.95" customHeight="1">
      <c r="D47" s="436" t="s">
        <v>284</v>
      </c>
      <c r="AB47" s="2485">
        <f>'Sources and Uses Budget'!B105-MAX(IF('Sources and Uses Budget'!B15="",0,'Sources and Uses Budget'!B15),IF(Application!AG393="",0,Application!AG393))</f>
        <v>47550835</v>
      </c>
      <c r="AC47" s="2486"/>
      <c r="AD47" s="2486"/>
      <c r="AE47" s="2486"/>
      <c r="AF47" s="2487"/>
    </row>
    <row r="48" spans="1:76" ht="12.95" customHeight="1">
      <c r="D48" s="436" t="s">
        <v>21</v>
      </c>
      <c r="AB48" s="2485">
        <f>Application!AO635-MAX(IF('Sources and Uses Budget'!B15="",0,'Sources and Uses Budget'!B15),IF(Application!AG393="",0,Application!AG393))</f>
        <v>17543630</v>
      </c>
      <c r="AC48" s="2486"/>
      <c r="AD48" s="2486"/>
      <c r="AE48" s="2486"/>
      <c r="AF48" s="2487"/>
    </row>
    <row r="49" spans="1:76" ht="12.95" customHeight="1">
      <c r="D49" s="436" t="s">
        <v>92</v>
      </c>
      <c r="AB49" s="2485">
        <f>AB47-AB48</f>
        <v>30007205</v>
      </c>
      <c r="AC49" s="2486"/>
      <c r="AD49" s="2486"/>
      <c r="AE49" s="2486"/>
      <c r="AF49" s="2487"/>
    </row>
    <row r="50" spans="1:76" ht="12.95" customHeight="1">
      <c r="D50" s="436" t="s">
        <v>690</v>
      </c>
      <c r="AA50" s="447"/>
      <c r="AB50" s="2473">
        <v>0.88500000000000001</v>
      </c>
      <c r="AC50" s="2474"/>
      <c r="AD50" s="2474"/>
      <c r="AE50" s="2474"/>
      <c r="AF50" s="2475"/>
    </row>
    <row r="51" spans="1:76" s="449" customFormat="1" ht="12.95" customHeight="1">
      <c r="A51" s="434"/>
      <c r="B51" s="434"/>
      <c r="C51" s="434"/>
      <c r="D51" s="434"/>
      <c r="E51" s="2484" t="s">
        <v>2112</v>
      </c>
      <c r="F51" s="2484"/>
      <c r="G51" s="2484"/>
      <c r="H51" s="2484"/>
      <c r="I51" s="2484"/>
      <c r="J51" s="2484"/>
      <c r="K51" s="2484"/>
      <c r="L51" s="2484"/>
      <c r="M51" s="2484"/>
      <c r="N51" s="2484"/>
      <c r="O51" s="2484"/>
      <c r="P51" s="2484"/>
      <c r="Q51" s="2484"/>
      <c r="R51" s="2484"/>
      <c r="S51" s="2484"/>
      <c r="T51" s="2484"/>
      <c r="U51" s="2484"/>
      <c r="V51" s="2484"/>
      <c r="W51" s="2484"/>
      <c r="X51" s="2484"/>
      <c r="Y51" s="2484"/>
      <c r="Z51" s="2484"/>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4"/>
      <c r="F52" s="2484"/>
      <c r="G52" s="2484"/>
      <c r="H52" s="2484"/>
      <c r="I52" s="2484"/>
      <c r="J52" s="2484"/>
      <c r="K52" s="2484"/>
      <c r="L52" s="2484"/>
      <c r="M52" s="2484"/>
      <c r="N52" s="2484"/>
      <c r="O52" s="2484"/>
      <c r="P52" s="2484"/>
      <c r="Q52" s="2484"/>
      <c r="R52" s="2484"/>
      <c r="S52" s="2484"/>
      <c r="T52" s="2484"/>
      <c r="U52" s="2484"/>
      <c r="V52" s="2484"/>
      <c r="W52" s="2484"/>
      <c r="X52" s="2484"/>
      <c r="Y52" s="2484"/>
      <c r="Z52" s="2484"/>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85">
        <f>ROUND(IF(ISERROR((AB49/AB50)),0,(AB49/AB50)),0)</f>
        <v>33906446</v>
      </c>
      <c r="AC54" s="2486"/>
      <c r="AD54" s="2486"/>
      <c r="AE54" s="2486"/>
      <c r="AF54" s="2487"/>
    </row>
    <row r="55" spans="1:76" ht="12.95" customHeight="1">
      <c r="D55" s="436" t="s">
        <v>334</v>
      </c>
      <c r="AB55" s="2485">
        <f>(AB54/10)</f>
        <v>3390644.6</v>
      </c>
      <c r="AC55" s="2486"/>
      <c r="AD55" s="2486"/>
      <c r="AE55" s="2486"/>
      <c r="AF55" s="2487"/>
    </row>
    <row r="56" spans="1:76" ht="12.95" customHeight="1">
      <c r="D56" s="436" t="s">
        <v>768</v>
      </c>
      <c r="AB56" s="2488">
        <f>(IF((Y41&lt;AB55),Y41,AB55))</f>
        <v>2277408</v>
      </c>
      <c r="AC56" s="2489"/>
      <c r="AD56" s="2489"/>
      <c r="AE56" s="2489"/>
      <c r="AF56" s="2490"/>
    </row>
    <row r="57" spans="1:76" ht="12.95" customHeight="1">
      <c r="D57" s="436" t="s">
        <v>767</v>
      </c>
      <c r="AB57" s="2485">
        <f>ROUND((10*AB56*AB50),0)</f>
        <v>20155061</v>
      </c>
      <c r="AC57" s="2486"/>
      <c r="AD57" s="2486"/>
      <c r="AE57" s="2486"/>
      <c r="AF57" s="2487"/>
    </row>
    <row r="58" spans="1:76" ht="12.95" customHeight="1">
      <c r="D58" s="436"/>
      <c r="AB58" s="455"/>
      <c r="AC58" s="455"/>
      <c r="AD58" s="455"/>
      <c r="AE58" s="455"/>
      <c r="AF58" s="455"/>
    </row>
    <row r="59" spans="1:76" ht="12.95" customHeight="1">
      <c r="D59" s="436" t="s">
        <v>766</v>
      </c>
      <c r="AB59" s="2469">
        <f>AB49-AB57</f>
        <v>9852144</v>
      </c>
      <c r="AC59" s="2469"/>
      <c r="AD59" s="2469"/>
      <c r="AE59" s="2469"/>
      <c r="AF59" s="2469"/>
    </row>
    <row r="60" spans="1:76" ht="12.95" customHeight="1">
      <c r="D60" s="436"/>
      <c r="AB60" s="455"/>
      <c r="AC60" s="455"/>
      <c r="AD60" s="455"/>
      <c r="AE60" s="455"/>
      <c r="AF60" s="455"/>
    </row>
    <row r="61" spans="1:76" s="218" customFormat="1" ht="12.95" customHeight="1" thickBot="1">
      <c r="A61" s="2491" t="str">
        <f>IF(Application!AP204="yes","Farmworker State Credit", "State Credit" )</f>
        <v>State Credit</v>
      </c>
      <c r="B61" s="2491"/>
      <c r="C61" s="2491"/>
      <c r="D61" s="2491"/>
      <c r="E61" s="2491"/>
      <c r="F61" s="2491"/>
      <c r="G61" s="2491"/>
      <c r="H61" s="2491"/>
      <c r="I61" s="2491"/>
      <c r="J61" s="2491"/>
      <c r="K61" s="2491"/>
      <c r="L61" s="2491"/>
      <c r="M61" s="2491"/>
      <c r="N61" s="2491"/>
      <c r="O61" s="2491"/>
      <c r="P61" s="2491"/>
      <c r="Q61" s="2491"/>
      <c r="R61" s="2491"/>
      <c r="S61" s="2491"/>
      <c r="T61" s="2491"/>
      <c r="U61" s="2491"/>
      <c r="V61" s="2491"/>
      <c r="W61" s="2491"/>
      <c r="X61" s="2491"/>
      <c r="Y61" s="2491"/>
      <c r="Z61" s="2491"/>
      <c r="AA61" s="2491"/>
      <c r="AB61" s="2491"/>
      <c r="AC61" s="2491"/>
      <c r="AD61" s="2491"/>
      <c r="AE61" s="2491"/>
      <c r="AF61" s="2491"/>
      <c r="AG61" s="2491"/>
      <c r="AH61" s="2491"/>
      <c r="AI61" s="2491"/>
      <c r="AJ61" s="2491"/>
      <c r="AK61" s="2491"/>
      <c r="AL61" s="2491"/>
      <c r="AM61" s="2491"/>
      <c r="AN61" s="2491"/>
      <c r="AO61" s="2491"/>
      <c r="AP61" s="2491"/>
      <c r="AQ61" s="2491"/>
      <c r="AR61" s="2491"/>
      <c r="AS61" s="2491"/>
      <c r="AT61" s="2491"/>
      <c r="AU61" s="2491"/>
      <c r="AV61" s="2491"/>
      <c r="AW61" s="2491"/>
      <c r="AX61" s="2491"/>
      <c r="AY61" s="2491"/>
      <c r="AZ61" s="2491"/>
      <c r="BA61" s="2491"/>
      <c r="BB61" s="2491"/>
      <c r="BC61" s="2491"/>
      <c r="BD61" s="2491"/>
      <c r="BE61" s="2491"/>
      <c r="BF61" s="2491"/>
      <c r="BG61" s="2491"/>
      <c r="BH61" s="2491"/>
      <c r="BI61" s="2491"/>
      <c r="BJ61" s="2491"/>
      <c r="BK61" s="2491"/>
      <c r="BL61" s="2491"/>
      <c r="BM61" s="2491"/>
      <c r="BN61" s="2491"/>
      <c r="BO61" s="2491"/>
      <c r="BP61" s="2491"/>
      <c r="BQ61" s="2491"/>
      <c r="BR61" s="2491"/>
      <c r="BS61" s="2491"/>
      <c r="BT61" s="2491"/>
      <c r="BU61" s="2491"/>
      <c r="BV61" s="2491"/>
      <c r="BW61" s="2491"/>
      <c r="BX61" s="2491"/>
    </row>
    <row r="62" spans="1:76" s="218" customFormat="1" ht="12.95" customHeight="1" thickTop="1"/>
    <row r="63" spans="1:76" ht="12.95" customHeight="1">
      <c r="A63" s="436" t="s">
        <v>598</v>
      </c>
      <c r="C63" s="219" t="s">
        <v>1405</v>
      </c>
      <c r="Y63" s="2480" t="s">
        <v>1024</v>
      </c>
      <c r="Z63" s="2480"/>
      <c r="AA63" s="2480"/>
      <c r="AB63" s="2480"/>
      <c r="AC63" s="2480"/>
      <c r="AD63" s="2480" t="s">
        <v>370</v>
      </c>
      <c r="AE63" s="2480"/>
      <c r="AF63" s="2480"/>
      <c r="AG63" s="2480"/>
      <c r="AH63" s="2480"/>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1">
        <f>IF(Application!Z204="(select)",0,((T23*T27)+Y28))</f>
        <v>43796306</v>
      </c>
      <c r="Z64" s="2482"/>
      <c r="AA64" s="2482"/>
      <c r="AB64" s="2482"/>
      <c r="AC64" s="2483"/>
      <c r="AD64" s="2481">
        <f>IF(AND(OR(Application!D210="At-Risk",Application!D210="At-Risk and Special Needs"),Application!M357="yes"),AD28+AI28,0)</f>
        <v>0</v>
      </c>
      <c r="AE64" s="2482"/>
      <c r="AF64" s="2482"/>
      <c r="AG64" s="2482"/>
      <c r="AH64" s="2483"/>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70">
        <f>IF(Application!AP204="yes",0.75,IF(Application!Z203="15% set-aside",0.13,IF(Application!Z203="15% set-aside with qualifying low value rehab",0.95,0.3)))</f>
        <v>0.3</v>
      </c>
      <c r="Z67" s="2470"/>
      <c r="AA67" s="2470"/>
      <c r="AB67" s="2470"/>
      <c r="AC67" s="2470"/>
      <c r="AD67" s="2470">
        <f>IF(Application!Z203="15% set-aside with qualifying low value rehab", 0.95,0.13)</f>
        <v>0.13</v>
      </c>
      <c r="AE67" s="2470"/>
      <c r="AF67" s="2470"/>
      <c r="AG67" s="2470"/>
      <c r="AH67" s="2470"/>
    </row>
    <row r="68" spans="1:36" ht="12.95" customHeight="1">
      <c r="C68" s="436"/>
      <c r="D68" s="219" t="s">
        <v>1407</v>
      </c>
      <c r="Y68" s="2471">
        <f>ROUND(Y64*Y67,0)</f>
        <v>13138892</v>
      </c>
      <c r="Z68" s="2472"/>
      <c r="AA68" s="2472"/>
      <c r="AB68" s="2472"/>
      <c r="AC68" s="2472"/>
      <c r="AD68" s="2471">
        <f>ROUND(AD64*AD67,0)</f>
        <v>0</v>
      </c>
      <c r="AE68" s="2472"/>
      <c r="AF68" s="2472"/>
      <c r="AG68" s="2472"/>
      <c r="AH68" s="2472"/>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1408</v>
      </c>
      <c r="AB71" s="2473">
        <v>0.75</v>
      </c>
      <c r="AC71" s="2474"/>
      <c r="AD71" s="2474"/>
      <c r="AE71" s="2474"/>
      <c r="AF71" s="2475"/>
    </row>
    <row r="72" spans="1:36" ht="12.95" customHeight="1">
      <c r="A72" s="436"/>
      <c r="C72" s="436"/>
      <c r="D72" s="436"/>
      <c r="E72" s="2476" t="s">
        <v>1409</v>
      </c>
      <c r="F72" s="2476"/>
      <c r="G72" s="2476"/>
      <c r="H72" s="2476"/>
      <c r="I72" s="2476"/>
      <c r="J72" s="2476"/>
      <c r="K72" s="2476"/>
      <c r="L72" s="2476"/>
      <c r="M72" s="2476"/>
      <c r="N72" s="2476"/>
      <c r="O72" s="2476"/>
      <c r="P72" s="2476"/>
      <c r="Q72" s="2476"/>
      <c r="R72" s="2476"/>
      <c r="S72" s="2476"/>
      <c r="T72" s="2476"/>
      <c r="U72" s="2476"/>
      <c r="V72" s="2476"/>
      <c r="W72" s="2476"/>
      <c r="X72" s="2476"/>
      <c r="Y72" s="2476"/>
      <c r="Z72" s="2476"/>
      <c r="AA72" s="2476"/>
      <c r="AB72" s="472"/>
      <c r="AC72" s="472"/>
    </row>
    <row r="73" spans="1:36" ht="12.95" customHeight="1">
      <c r="A73" s="436"/>
      <c r="C73" s="436"/>
      <c r="D73" s="436"/>
      <c r="E73" s="2476"/>
      <c r="F73" s="2476"/>
      <c r="G73" s="2476"/>
      <c r="H73" s="2476"/>
      <c r="I73" s="2476"/>
      <c r="J73" s="2476"/>
      <c r="K73" s="2476"/>
      <c r="L73" s="2476"/>
      <c r="M73" s="2476"/>
      <c r="N73" s="2476"/>
      <c r="O73" s="2476"/>
      <c r="P73" s="2476"/>
      <c r="Q73" s="2476"/>
      <c r="R73" s="2476"/>
      <c r="S73" s="2476"/>
      <c r="T73" s="2476"/>
      <c r="U73" s="2476"/>
      <c r="V73" s="2476"/>
      <c r="W73" s="2476"/>
      <c r="X73" s="2476"/>
      <c r="Y73" s="2476"/>
      <c r="Z73" s="2476"/>
      <c r="AA73" s="2476"/>
      <c r="AB73" s="472"/>
      <c r="AC73" s="472"/>
    </row>
    <row r="74" spans="1:36" ht="12.95" customHeight="1">
      <c r="A74" s="436"/>
      <c r="C74" s="436"/>
      <c r="D74" s="436"/>
      <c r="E74" s="2476"/>
      <c r="F74" s="2476"/>
      <c r="G74" s="2476"/>
      <c r="H74" s="2476"/>
      <c r="I74" s="2476"/>
      <c r="J74" s="2476"/>
      <c r="K74" s="2476"/>
      <c r="L74" s="2476"/>
      <c r="M74" s="2476"/>
      <c r="N74" s="2476"/>
      <c r="O74" s="2476"/>
      <c r="P74" s="2476"/>
      <c r="Q74" s="2476"/>
      <c r="R74" s="2476"/>
      <c r="S74" s="2476"/>
      <c r="T74" s="2476"/>
      <c r="U74" s="2476"/>
      <c r="V74" s="2476"/>
      <c r="W74" s="2476"/>
      <c r="X74" s="2476"/>
      <c r="Y74" s="2476"/>
      <c r="Z74" s="2476"/>
      <c r="AA74" s="2476"/>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464">
        <f>ROUND(IF(ISERROR((AB59/AB71)),0,(AB59/AB71)),0)</f>
        <v>13136192</v>
      </c>
      <c r="AC76" s="2464"/>
      <c r="AD76" s="2464"/>
      <c r="AE76" s="2464"/>
      <c r="AF76" s="2464"/>
    </row>
    <row r="77" spans="1:36" ht="12.95" customHeight="1">
      <c r="C77" s="436"/>
      <c r="D77" s="219" t="s">
        <v>1411</v>
      </c>
      <c r="AB77" s="2465">
        <f>IF((Y68+AD68&lt;AB76),Y68+AD68,AB76)</f>
        <v>13136192</v>
      </c>
      <c r="AC77" s="2466"/>
      <c r="AD77" s="2466"/>
      <c r="AE77" s="2466"/>
      <c r="AF77" s="2467"/>
    </row>
    <row r="78" spans="1:36" ht="12.95" customHeight="1">
      <c r="C78" s="436"/>
      <c r="D78" s="219" t="s">
        <v>1412</v>
      </c>
      <c r="AB78" s="2468">
        <f>AB77*AB71</f>
        <v>9852144</v>
      </c>
      <c r="AC78" s="2468"/>
      <c r="AD78" s="2468"/>
      <c r="AE78" s="2468"/>
      <c r="AF78" s="2468"/>
    </row>
    <row r="79" spans="1:36" ht="12.95" customHeight="1">
      <c r="C79" s="436"/>
      <c r="D79" s="436"/>
      <c r="AB79" s="457"/>
      <c r="AC79" s="457"/>
      <c r="AD79" s="457"/>
      <c r="AE79" s="457"/>
      <c r="AF79" s="457"/>
    </row>
    <row r="80" spans="1:36" ht="12.95" customHeight="1">
      <c r="D80" s="436" t="s">
        <v>766</v>
      </c>
      <c r="AB80" s="2469">
        <f>AB49-(AB57+AB78)</f>
        <v>0</v>
      </c>
      <c r="AC80" s="2469"/>
      <c r="AD80" s="2469"/>
      <c r="AE80" s="2469"/>
      <c r="AF80" s="2469"/>
    </row>
    <row r="81" spans="1:78" ht="12.95" customHeight="1">
      <c r="F81" s="557"/>
      <c r="J81" s="557" t="str">
        <f>IF(AB80&gt;0,"FUNDING GAP MUST NOT EXCEED ZERO","")</f>
        <v/>
      </c>
    </row>
    <row r="82" spans="1:78" ht="12.95" customHeight="1">
      <c r="D82" s="558"/>
    </row>
    <row r="83" spans="1:78" ht="12.95" customHeight="1" thickBot="1">
      <c r="A83" s="2491"/>
      <c r="B83" s="2491"/>
      <c r="C83" s="2491"/>
      <c r="D83" s="2491"/>
      <c r="E83" s="2491"/>
      <c r="F83" s="2491"/>
      <c r="G83" s="2491"/>
      <c r="H83" s="2491"/>
      <c r="I83" s="2491"/>
      <c r="J83" s="2491"/>
      <c r="K83" s="2491"/>
      <c r="L83" s="2491"/>
      <c r="M83" s="2491"/>
      <c r="N83" s="2491"/>
      <c r="O83" s="2491"/>
      <c r="P83" s="2491"/>
      <c r="Q83" s="2491"/>
      <c r="R83" s="2491"/>
      <c r="S83" s="2491"/>
      <c r="T83" s="2491"/>
      <c r="U83" s="2491"/>
      <c r="V83" s="2491"/>
      <c r="W83" s="2491"/>
      <c r="X83" s="2491"/>
      <c r="Y83" s="2491"/>
      <c r="Z83" s="2491"/>
      <c r="AA83" s="2491"/>
      <c r="AB83" s="2491"/>
      <c r="AC83" s="2491"/>
      <c r="AD83" s="2491"/>
      <c r="AE83" s="2491"/>
      <c r="AF83" s="2491"/>
      <c r="AG83" s="2491"/>
      <c r="AH83" s="2491"/>
      <c r="AI83" s="2491"/>
      <c r="AJ83" s="2491"/>
      <c r="AK83" s="2491"/>
      <c r="AL83" s="2491"/>
      <c r="AM83" s="2491"/>
      <c r="AN83" s="2491"/>
      <c r="AO83" s="2491"/>
      <c r="AP83" s="2491"/>
      <c r="AQ83" s="2491"/>
      <c r="AR83" s="2491"/>
      <c r="AS83" s="2491"/>
      <c r="AT83" s="2491"/>
      <c r="AU83" s="2491"/>
      <c r="AV83" s="2491"/>
      <c r="AW83" s="2491"/>
      <c r="AX83" s="2491"/>
      <c r="AY83" s="2491"/>
      <c r="AZ83" s="2491"/>
      <c r="BA83" s="2491"/>
      <c r="BB83" s="2491"/>
      <c r="BC83" s="2491"/>
      <c r="BD83" s="2491"/>
      <c r="BE83" s="2491"/>
      <c r="BF83" s="2491"/>
      <c r="BG83" s="2491"/>
      <c r="BH83" s="2491"/>
      <c r="BI83" s="2491"/>
      <c r="BJ83" s="2491"/>
      <c r="BK83" s="2491"/>
      <c r="BL83" s="2491"/>
      <c r="BM83" s="2491"/>
      <c r="BN83" s="2491"/>
      <c r="BO83" s="2491"/>
      <c r="BP83" s="2491"/>
      <c r="BQ83" s="2491"/>
      <c r="BR83" s="2491"/>
      <c r="BS83" s="2491"/>
      <c r="BT83" s="2491"/>
      <c r="BU83" s="2491"/>
      <c r="BV83" s="2491"/>
      <c r="BW83" s="2491"/>
      <c r="BX83" s="2491"/>
    </row>
    <row r="84" spans="1:78" ht="12.95" customHeight="1" thickTop="1"/>
    <row r="85" spans="1:78" ht="12.95" customHeight="1">
      <c r="A85" s="436"/>
      <c r="C85" s="219"/>
    </row>
    <row r="86" spans="1:78" ht="12.95" customHeight="1">
      <c r="D86" s="219"/>
      <c r="AB86" s="2523"/>
      <c r="AC86" s="2523"/>
      <c r="AD86" s="2523"/>
      <c r="AE86" s="2523"/>
      <c r="AF86" s="2523"/>
    </row>
    <row r="87" spans="1:78" ht="12.95" customHeight="1" thickBot="1">
      <c r="D87" s="219"/>
      <c r="AB87" s="2522"/>
      <c r="AC87" s="2522"/>
      <c r="AD87" s="2522"/>
      <c r="AE87" s="2522"/>
      <c r="AF87" s="252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0" t="s">
        <v>942</v>
      </c>
      <c r="B1" s="2530"/>
      <c r="C1" s="2530"/>
      <c r="D1" s="2530"/>
      <c r="E1" s="2530"/>
      <c r="F1" s="2530"/>
      <c r="G1" s="2530"/>
      <c r="H1" s="2530"/>
      <c r="I1" s="2530"/>
      <c r="J1" s="2530"/>
      <c r="K1" s="218"/>
      <c r="L1" s="218"/>
    </row>
    <row r="2" spans="1:12">
      <c r="A2" s="225"/>
      <c r="B2" s="225"/>
      <c r="C2" s="225"/>
      <c r="D2" s="225"/>
      <c r="E2" s="225"/>
      <c r="F2" s="225"/>
      <c r="G2" s="225"/>
      <c r="H2" s="225"/>
      <c r="I2" s="225"/>
      <c r="J2" s="225"/>
    </row>
    <row r="3" spans="1:12" ht="99.75">
      <c r="A3" s="458" t="s">
        <v>943</v>
      </c>
      <c r="B3" s="458" t="s">
        <v>944</v>
      </c>
      <c r="C3" s="458" t="s">
        <v>2341</v>
      </c>
      <c r="D3" s="1199" t="s">
        <v>945</v>
      </c>
      <c r="E3" s="218"/>
      <c r="F3" s="1199" t="s">
        <v>946</v>
      </c>
      <c r="G3" s="458" t="s">
        <v>947</v>
      </c>
      <c r="H3" s="459"/>
      <c r="I3" s="458" t="s">
        <v>948</v>
      </c>
      <c r="J3" s="458" t="s">
        <v>949</v>
      </c>
      <c r="K3" s="218"/>
      <c r="L3" s="328"/>
    </row>
    <row r="4" spans="1:12">
      <c r="A4" s="460" t="str">
        <f>Application!B714</f>
        <v>1 Bedroom</v>
      </c>
      <c r="B4" s="1130">
        <f>Application!G714</f>
        <v>4</v>
      </c>
      <c r="C4" s="1131"/>
      <c r="D4" s="460">
        <f>Application!O714</f>
        <v>521</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14</v>
      </c>
      <c r="C5" s="1131"/>
      <c r="D5" s="460">
        <f>Application!O715</f>
        <v>901</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21</v>
      </c>
      <c r="C6" s="1131"/>
      <c r="D6" s="460">
        <f>Application!O716</f>
        <v>1281</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v>
      </c>
      <c r="C7" s="1131"/>
      <c r="D7" s="460">
        <f>Application!O717</f>
        <v>1472</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2</v>
      </c>
      <c r="C8" s="1131"/>
      <c r="D8" s="460">
        <f>Application!O718</f>
        <v>624</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7</v>
      </c>
      <c r="C9" s="1131"/>
      <c r="D9" s="460">
        <f>Application!O719</f>
        <v>1080</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11</v>
      </c>
      <c r="C10" s="1131"/>
      <c r="D10" s="460">
        <f>Application!O720</f>
        <v>1517</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3</v>
      </c>
      <c r="C11" s="1131"/>
      <c r="D11" s="460">
        <f>Application!O721</f>
        <v>624</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10</v>
      </c>
      <c r="C12" s="1131"/>
      <c r="D12" s="460">
        <f>Application!O722</f>
        <v>1080</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12</v>
      </c>
      <c r="C13" s="1131"/>
      <c r="D13" s="460">
        <f>Application!O723</f>
        <v>1536</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v>
      </c>
      <c r="C14" s="1131"/>
      <c r="D14" s="460">
        <f>Application!O724</f>
        <v>1764</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3</v>
      </c>
      <c r="C15" s="1131"/>
      <c r="D15" s="460">
        <f>Application!O725</f>
        <v>720</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10</v>
      </c>
      <c r="C16" s="1131"/>
      <c r="D16" s="460">
        <f>Application!O726</f>
        <v>1247</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15</v>
      </c>
      <c r="C17" s="1131"/>
      <c r="D17" s="460">
        <f>Application!O727</f>
        <v>1774</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1</v>
      </c>
      <c r="C18" s="1131"/>
      <c r="D18" s="460">
        <f>Application!O728</f>
        <v>1991</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144665</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4" zoomScaleNormal="100" zoomScaleSheetLayoutView="100" workbookViewId="0">
      <selection activeCell="E10" sqref="E10"/>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2517</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1754412</v>
      </c>
      <c r="G4" s="235">
        <f>E4*$C$4</f>
        <v>1798272.2999999998</v>
      </c>
      <c r="I4" s="235">
        <f>G4*$C$4</f>
        <v>1843229.1074999997</v>
      </c>
      <c r="K4" s="235">
        <f>I4*$C$4</f>
        <v>1889309.8351874994</v>
      </c>
      <c r="M4" s="235">
        <f>K4*$C$4</f>
        <v>1936542.5810671868</v>
      </c>
      <c r="O4" s="235">
        <f>M4*$C$4</f>
        <v>1984956.1455938662</v>
      </c>
      <c r="Q4" s="235">
        <f>O4*$C$4</f>
        <v>2034580.0492337127</v>
      </c>
      <c r="S4" s="235">
        <f>Q4*$C$4</f>
        <v>2085444.5504645554</v>
      </c>
      <c r="U4" s="235">
        <f>S4*$C$4</f>
        <v>2137580.6642261692</v>
      </c>
      <c r="W4" s="235">
        <f>U4*$C$4</f>
        <v>2191020.1808318235</v>
      </c>
      <c r="Y4" s="235">
        <f>W4*$C$4</f>
        <v>2245795.6853526188</v>
      </c>
      <c r="AA4" s="235">
        <f>Y4*$C$4</f>
        <v>2301940.577486434</v>
      </c>
      <c r="AC4" s="235">
        <f>AA4*$C$4</f>
        <v>2359489.0919235945</v>
      </c>
      <c r="AE4" s="235">
        <f>AC4*$C$4</f>
        <v>2418476.3192216842</v>
      </c>
      <c r="AG4" s="235">
        <f>AE4*$C$4</f>
        <v>2478938.2272022259</v>
      </c>
    </row>
    <row r="5" spans="1:34" s="225" customFormat="1" ht="14.25">
      <c r="B5" s="225" t="s">
        <v>866</v>
      </c>
      <c r="C5" s="254">
        <f>IF(Application!$D$210="Special Needs",0.1,0.05)</f>
        <v>0.05</v>
      </c>
      <c r="E5" s="237">
        <f>-E4*$C$5</f>
        <v>-87720.6</v>
      </c>
      <c r="F5" s="237"/>
      <c r="G5" s="237">
        <f>-G4*$C$5</f>
        <v>-89913.614999999991</v>
      </c>
      <c r="H5" s="237"/>
      <c r="I5" s="237">
        <f>-I4*$C$5</f>
        <v>-92161.45537499999</v>
      </c>
      <c r="J5" s="237"/>
      <c r="K5" s="237">
        <f>-K4*$C$5</f>
        <v>-94465.491759374971</v>
      </c>
      <c r="L5" s="237"/>
      <c r="M5" s="237">
        <f>-M4*$C$5</f>
        <v>-96827.129053359342</v>
      </c>
      <c r="N5" s="237"/>
      <c r="O5" s="237">
        <f>-O4*$C$5</f>
        <v>-99247.807279693312</v>
      </c>
      <c r="P5" s="237"/>
      <c r="Q5" s="237">
        <f>-Q4*$C$5</f>
        <v>-101729.00246168564</v>
      </c>
      <c r="R5" s="237"/>
      <c r="S5" s="237">
        <f>-S4*$C$5</f>
        <v>-104272.22752322778</v>
      </c>
      <c r="T5" s="237"/>
      <c r="U5" s="237">
        <f>-U4*$C$5</f>
        <v>-106879.03321130847</v>
      </c>
      <c r="V5" s="237"/>
      <c r="W5" s="237">
        <f>-W4*$C$5</f>
        <v>-109551.00904159118</v>
      </c>
      <c r="X5" s="237"/>
      <c r="Y5" s="237">
        <f>-Y4*$C$5</f>
        <v>-112289.78426763095</v>
      </c>
      <c r="Z5" s="237"/>
      <c r="AA5" s="237">
        <f>-AA4*$C$5</f>
        <v>-115097.02887432171</v>
      </c>
      <c r="AB5" s="237"/>
      <c r="AC5" s="237">
        <f>-AC4*$C$5</f>
        <v>-117974.45459617973</v>
      </c>
      <c r="AD5" s="237"/>
      <c r="AE5" s="237">
        <f>-AE4*$C$5</f>
        <v>-120923.81596108421</v>
      </c>
      <c r="AF5" s="237"/>
      <c r="AG5" s="237">
        <f>-AG4*$C$5</f>
        <v>-123946.91136011131</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Application!Z801</f>
        <v>20880</v>
      </c>
      <c r="F8" s="238"/>
      <c r="G8" s="238">
        <f>E8*$C$8</f>
        <v>21401.999999999996</v>
      </c>
      <c r="H8" s="238"/>
      <c r="I8" s="238">
        <f>G8*$C$8</f>
        <v>21937.049999999996</v>
      </c>
      <c r="J8" s="238"/>
      <c r="K8" s="238">
        <f>I8*$C$8</f>
        <v>22485.476249999992</v>
      </c>
      <c r="L8" s="238"/>
      <c r="M8" s="238">
        <f>K8*$C$8</f>
        <v>23047.61315624999</v>
      </c>
      <c r="N8" s="238"/>
      <c r="O8" s="238">
        <f>M8*$C$8</f>
        <v>23623.803485156237</v>
      </c>
      <c r="P8" s="238"/>
      <c r="Q8" s="238">
        <f>O8*$C$8</f>
        <v>24214.398572285139</v>
      </c>
      <c r="R8" s="238"/>
      <c r="S8" s="238">
        <f>Q8*$C$8</f>
        <v>24819.758536592264</v>
      </c>
      <c r="T8" s="238"/>
      <c r="U8" s="238">
        <f>S8*$C$8</f>
        <v>25440.252500007067</v>
      </c>
      <c r="V8" s="238"/>
      <c r="W8" s="238">
        <f>U8*$C$8</f>
        <v>26076.258812507243</v>
      </c>
      <c r="X8" s="238"/>
      <c r="Y8" s="238">
        <f>W8*$C$8</f>
        <v>26728.165282819922</v>
      </c>
      <c r="Z8" s="238"/>
      <c r="AA8" s="238">
        <f>Y8*$C$8</f>
        <v>27396.369414890418</v>
      </c>
      <c r="AB8" s="238"/>
      <c r="AC8" s="238">
        <f>AA8*$C$8</f>
        <v>28081.278650262677</v>
      </c>
      <c r="AD8" s="238"/>
      <c r="AE8" s="238">
        <f>AC8*$C$8</f>
        <v>28783.31061651924</v>
      </c>
      <c r="AF8" s="238"/>
      <c r="AG8" s="238">
        <f>AE8*$C$8</f>
        <v>29502.893381932219</v>
      </c>
    </row>
    <row r="9" spans="1:34" s="225" customFormat="1" ht="14.25">
      <c r="B9" s="225" t="s">
        <v>866</v>
      </c>
      <c r="C9" s="254">
        <f>IF(Application!$D$210="Special Needs",0.1,0.05)</f>
        <v>0.05</v>
      </c>
      <c r="E9" s="237">
        <f>-E8*$C$9</f>
        <v>-1044</v>
      </c>
      <c r="F9" s="237"/>
      <c r="G9" s="237">
        <f>-G8*$C$9</f>
        <v>-1070.0999999999999</v>
      </c>
      <c r="H9" s="237"/>
      <c r="I9" s="237">
        <f>-I8*$C$9</f>
        <v>-1096.8524999999997</v>
      </c>
      <c r="J9" s="237"/>
      <c r="K9" s="237">
        <f>-K8*$C$9</f>
        <v>-1124.2738124999996</v>
      </c>
      <c r="L9" s="237"/>
      <c r="M9" s="237">
        <f>-M8*$C$9</f>
        <v>-1152.3806578124995</v>
      </c>
      <c r="N9" s="237"/>
      <c r="O9" s="237">
        <f>-O8*$C$9</f>
        <v>-1181.1901742578118</v>
      </c>
      <c r="P9" s="237"/>
      <c r="Q9" s="237">
        <f>-Q8*$C$9</f>
        <v>-1210.719928614257</v>
      </c>
      <c r="R9" s="237"/>
      <c r="S9" s="237">
        <f>-S8*$C$9</f>
        <v>-1240.9879268296133</v>
      </c>
      <c r="T9" s="237"/>
      <c r="U9" s="237">
        <f>-U8*$C$9</f>
        <v>-1272.0126250003534</v>
      </c>
      <c r="V9" s="237"/>
      <c r="W9" s="237">
        <f>-W8*$C$9</f>
        <v>-1303.8129406253622</v>
      </c>
      <c r="X9" s="237"/>
      <c r="Y9" s="237">
        <f>-Y8*$C$9</f>
        <v>-1336.4082641409962</v>
      </c>
      <c r="Z9" s="237"/>
      <c r="AA9" s="237">
        <f>-AA8*$C$9</f>
        <v>-1369.8184707445209</v>
      </c>
      <c r="AB9" s="237"/>
      <c r="AC9" s="237">
        <f>-AC8*$C$9</f>
        <v>-1404.063932513134</v>
      </c>
      <c r="AD9" s="237"/>
      <c r="AE9" s="237">
        <f>-AE8*$C$9</f>
        <v>-1439.1655308259622</v>
      </c>
      <c r="AF9" s="237"/>
      <c r="AG9" s="237">
        <f>-AG8*$C$9</f>
        <v>-1475.1446690966111</v>
      </c>
    </row>
    <row r="10" spans="1:34" s="225" customFormat="1" ht="14.25">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1686527.4</v>
      </c>
      <c r="G11" s="239">
        <f>SUM(G4:G10)</f>
        <v>1728690.5849999997</v>
      </c>
      <c r="I11" s="239">
        <f>SUM(I4:I10)</f>
        <v>1771907.8496249998</v>
      </c>
      <c r="K11" s="239">
        <f>SUM(K4:K10)</f>
        <v>1816205.5458656244</v>
      </c>
      <c r="M11" s="239">
        <f>SUM(M4:M10)</f>
        <v>1861610.6845122648</v>
      </c>
      <c r="O11" s="239">
        <f>SUM(O4:O10)</f>
        <v>1908150.9516250712</v>
      </c>
      <c r="Q11" s="239">
        <f>SUM(Q4:Q10)</f>
        <v>1955854.725415698</v>
      </c>
      <c r="S11" s="239">
        <f>SUM(S4:S10)</f>
        <v>2004751.0935510905</v>
      </c>
      <c r="U11" s="239">
        <f>SUM(U4:U10)</f>
        <v>2054869.8708898674</v>
      </c>
      <c r="W11" s="239">
        <f>SUM(W4:W10)</f>
        <v>2106241.6176621141</v>
      </c>
      <c r="Y11" s="239">
        <f>SUM(Y4:Y10)</f>
        <v>2158897.6581036667</v>
      </c>
      <c r="AA11" s="239">
        <f>SUM(AA4:AA10)</f>
        <v>2212870.0995562579</v>
      </c>
      <c r="AC11" s="239">
        <f>SUM(AC4:AC10)</f>
        <v>2268191.8520451644</v>
      </c>
      <c r="AE11" s="239">
        <f>SUM(AE4:AE10)</f>
        <v>2324896.6483462933</v>
      </c>
      <c r="AG11" s="239">
        <f>SUM(AG4:AG10)</f>
        <v>2383019.0645549507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47560</v>
      </c>
      <c r="G15" s="235">
        <f>E15*$C$14</f>
        <v>49224.6</v>
      </c>
      <c r="I15" s="235">
        <f>G15*$C$14</f>
        <v>50947.460999999996</v>
      </c>
      <c r="K15" s="235">
        <f>I15*$C$14</f>
        <v>52730.622134999991</v>
      </c>
      <c r="M15" s="235">
        <f>K15*$C$14</f>
        <v>54576.193909724985</v>
      </c>
      <c r="O15" s="235">
        <f>M15*$C$14</f>
        <v>56486.360696565353</v>
      </c>
      <c r="Q15" s="235">
        <f>O15*$C$14</f>
        <v>58463.383320945133</v>
      </c>
      <c r="S15" s="235">
        <f>Q15*$C$14</f>
        <v>60509.601737178207</v>
      </c>
      <c r="U15" s="235">
        <f>S15*$C$14</f>
        <v>62627.437797979437</v>
      </c>
      <c r="W15" s="235">
        <f>U15*$C$14</f>
        <v>64819.398120908714</v>
      </c>
      <c r="Y15" s="235">
        <f>W15*$C$14</f>
        <v>67088.077055140515</v>
      </c>
      <c r="AA15" s="235">
        <f>Y15*$C$14</f>
        <v>69436.159752070424</v>
      </c>
      <c r="AC15" s="235">
        <f>AA15*$C$14</f>
        <v>71866.425343392882</v>
      </c>
      <c r="AE15" s="235">
        <f>AC15*$C$14</f>
        <v>74381.750230411621</v>
      </c>
      <c r="AG15" s="235">
        <f>AE15*$C$14</f>
        <v>76985.111488476017</v>
      </c>
    </row>
    <row r="16" spans="1:34" s="225" customFormat="1" ht="14.25">
      <c r="A16" s="225" t="s">
        <v>345</v>
      </c>
      <c r="C16" s="249"/>
      <c r="E16" s="238">
        <f>Application!W833</f>
        <v>67461</v>
      </c>
      <c r="F16" s="238"/>
      <c r="G16" s="238">
        <f t="shared" ref="G16:AG21" si="0">E16*$C$14</f>
        <v>69822.134999999995</v>
      </c>
      <c r="H16" s="238"/>
      <c r="I16" s="238">
        <f t="shared" si="0"/>
        <v>72265.90972499999</v>
      </c>
      <c r="J16" s="238"/>
      <c r="K16" s="238">
        <f t="shared" si="0"/>
        <v>74795.216565374983</v>
      </c>
      <c r="L16" s="238"/>
      <c r="M16" s="238">
        <f t="shared" si="0"/>
        <v>77413.049145163095</v>
      </c>
      <c r="N16" s="238"/>
      <c r="O16" s="238">
        <f t="shared" si="0"/>
        <v>80122.505865243802</v>
      </c>
      <c r="P16" s="238"/>
      <c r="Q16" s="238">
        <f t="shared" si="0"/>
        <v>82926.793570527327</v>
      </c>
      <c r="R16" s="238"/>
      <c r="S16" s="238">
        <f t="shared" si="0"/>
        <v>85829.231345495777</v>
      </c>
      <c r="T16" s="238"/>
      <c r="U16" s="238">
        <f t="shared" si="0"/>
        <v>88833.254442588121</v>
      </c>
      <c r="V16" s="238"/>
      <c r="W16" s="238">
        <f t="shared" si="0"/>
        <v>91942.418348078703</v>
      </c>
      <c r="X16" s="238"/>
      <c r="Y16" s="238">
        <f t="shared" si="0"/>
        <v>95160.402990261457</v>
      </c>
      <c r="Z16" s="238"/>
      <c r="AA16" s="238">
        <f t="shared" si="0"/>
        <v>98491.017094920593</v>
      </c>
      <c r="AB16" s="238"/>
      <c r="AC16" s="238">
        <f t="shared" si="0"/>
        <v>101938.20269324281</v>
      </c>
      <c r="AD16" s="238"/>
      <c r="AE16" s="238">
        <f t="shared" si="0"/>
        <v>105506.03978750631</v>
      </c>
      <c r="AF16" s="238"/>
      <c r="AG16" s="238">
        <f t="shared" si="0"/>
        <v>109198.75118006901</v>
      </c>
    </row>
    <row r="17" spans="1:33" s="225" customFormat="1" ht="14.25">
      <c r="A17" s="225" t="s">
        <v>570</v>
      </c>
      <c r="C17" s="249"/>
      <c r="E17" s="238">
        <f>Application!W839</f>
        <v>118900</v>
      </c>
      <c r="F17" s="238"/>
      <c r="G17" s="238">
        <f t="shared" si="0"/>
        <v>123061.49999999999</v>
      </c>
      <c r="H17" s="238"/>
      <c r="I17" s="238">
        <f t="shared" si="0"/>
        <v>127368.65249999998</v>
      </c>
      <c r="J17" s="238"/>
      <c r="K17" s="238">
        <f t="shared" si="0"/>
        <v>131826.55533749997</v>
      </c>
      <c r="L17" s="238"/>
      <c r="M17" s="238">
        <f t="shared" si="0"/>
        <v>136440.48477431247</v>
      </c>
      <c r="N17" s="238"/>
      <c r="O17" s="238">
        <f t="shared" si="0"/>
        <v>141215.9017414134</v>
      </c>
      <c r="P17" s="238"/>
      <c r="Q17" s="238">
        <f t="shared" si="0"/>
        <v>146158.45830236285</v>
      </c>
      <c r="R17" s="238"/>
      <c r="S17" s="238">
        <f t="shared" si="0"/>
        <v>151274.00434294553</v>
      </c>
      <c r="T17" s="238"/>
      <c r="U17" s="238">
        <f t="shared" si="0"/>
        <v>156568.5944949486</v>
      </c>
      <c r="V17" s="238"/>
      <c r="W17" s="238">
        <f t="shared" si="0"/>
        <v>162048.4953022718</v>
      </c>
      <c r="X17" s="238"/>
      <c r="Y17" s="238">
        <f t="shared" si="0"/>
        <v>167720.19263785129</v>
      </c>
      <c r="Z17" s="238"/>
      <c r="AA17" s="238">
        <f t="shared" si="0"/>
        <v>173590.39938017607</v>
      </c>
      <c r="AB17" s="238"/>
      <c r="AC17" s="238">
        <f t="shared" si="0"/>
        <v>179666.06335848221</v>
      </c>
      <c r="AD17" s="238"/>
      <c r="AE17" s="238">
        <f t="shared" si="0"/>
        <v>185954.37557602907</v>
      </c>
      <c r="AF17" s="238"/>
      <c r="AG17" s="238">
        <f t="shared" si="0"/>
        <v>192462.77872119006</v>
      </c>
    </row>
    <row r="18" spans="1:33" s="225" customFormat="1" ht="14.25">
      <c r="A18" s="225" t="s">
        <v>870</v>
      </c>
      <c r="C18" s="249"/>
      <c r="E18" s="238">
        <f>Application!W846</f>
        <v>185040</v>
      </c>
      <c r="F18" s="238"/>
      <c r="G18" s="238">
        <f t="shared" si="0"/>
        <v>191516.4</v>
      </c>
      <c r="H18" s="238"/>
      <c r="I18" s="238">
        <f t="shared" si="0"/>
        <v>198219.47399999999</v>
      </c>
      <c r="J18" s="238"/>
      <c r="K18" s="238">
        <f t="shared" si="0"/>
        <v>205157.15558999998</v>
      </c>
      <c r="L18" s="238"/>
      <c r="M18" s="238">
        <f t="shared" si="0"/>
        <v>212337.65603564997</v>
      </c>
      <c r="N18" s="238"/>
      <c r="O18" s="238">
        <f t="shared" si="0"/>
        <v>219769.47399689769</v>
      </c>
      <c r="P18" s="238"/>
      <c r="Q18" s="238">
        <f t="shared" si="0"/>
        <v>227461.4055867891</v>
      </c>
      <c r="R18" s="238"/>
      <c r="S18" s="238">
        <f t="shared" si="0"/>
        <v>235422.55478232671</v>
      </c>
      <c r="T18" s="238"/>
      <c r="U18" s="238">
        <f t="shared" si="0"/>
        <v>243662.34419970814</v>
      </c>
      <c r="V18" s="238"/>
      <c r="W18" s="238">
        <f t="shared" si="0"/>
        <v>252190.5262466979</v>
      </c>
      <c r="X18" s="238"/>
      <c r="Y18" s="238">
        <f t="shared" si="0"/>
        <v>261017.19466533232</v>
      </c>
      <c r="Z18" s="238"/>
      <c r="AA18" s="238">
        <f t="shared" si="0"/>
        <v>270152.79647861893</v>
      </c>
      <c r="AB18" s="238"/>
      <c r="AC18" s="238">
        <f t="shared" si="0"/>
        <v>279608.14435537055</v>
      </c>
      <c r="AD18" s="238"/>
      <c r="AE18" s="238">
        <f t="shared" si="0"/>
        <v>289394.42940780852</v>
      </c>
      <c r="AF18" s="238"/>
      <c r="AG18" s="238">
        <f t="shared" si="0"/>
        <v>299523.23443708179</v>
      </c>
    </row>
    <row r="19" spans="1:33" s="225" customFormat="1" ht="14.25">
      <c r="A19" s="225" t="s">
        <v>156</v>
      </c>
      <c r="C19" s="249"/>
      <c r="E19" s="238">
        <f>Application!W847</f>
        <v>46400</v>
      </c>
      <c r="F19" s="238"/>
      <c r="G19" s="238">
        <f t="shared" si="0"/>
        <v>48023.999999999993</v>
      </c>
      <c r="H19" s="238"/>
      <c r="I19" s="238">
        <f t="shared" si="0"/>
        <v>49704.839999999989</v>
      </c>
      <c r="J19" s="238"/>
      <c r="K19" s="238">
        <f t="shared" si="0"/>
        <v>51444.509399999988</v>
      </c>
      <c r="L19" s="238"/>
      <c r="M19" s="238">
        <f t="shared" si="0"/>
        <v>53245.067228999986</v>
      </c>
      <c r="N19" s="238"/>
      <c r="O19" s="238">
        <f t="shared" si="0"/>
        <v>55108.644582014982</v>
      </c>
      <c r="P19" s="238"/>
      <c r="Q19" s="238">
        <f t="shared" si="0"/>
        <v>57037.447142385499</v>
      </c>
      <c r="R19" s="238"/>
      <c r="S19" s="238">
        <f t="shared" si="0"/>
        <v>59033.75779236899</v>
      </c>
      <c r="T19" s="238"/>
      <c r="U19" s="238">
        <f t="shared" si="0"/>
        <v>61099.939315101903</v>
      </c>
      <c r="V19" s="238"/>
      <c r="W19" s="238">
        <f t="shared" si="0"/>
        <v>63238.437191130462</v>
      </c>
      <c r="X19" s="238"/>
      <c r="Y19" s="238">
        <f t="shared" si="0"/>
        <v>65451.782492820021</v>
      </c>
      <c r="Z19" s="238"/>
      <c r="AA19" s="238">
        <f t="shared" si="0"/>
        <v>67742.594880068718</v>
      </c>
      <c r="AB19" s="238"/>
      <c r="AC19" s="238">
        <f t="shared" si="0"/>
        <v>70113.585700871117</v>
      </c>
      <c r="AD19" s="238"/>
      <c r="AE19" s="238">
        <f t="shared" si="0"/>
        <v>72567.5612004016</v>
      </c>
      <c r="AF19" s="238"/>
      <c r="AG19" s="238">
        <f t="shared" si="0"/>
        <v>75107.425842415643</v>
      </c>
    </row>
    <row r="20" spans="1:33" s="225" customFormat="1" ht="14.25">
      <c r="A20" s="225" t="s">
        <v>391</v>
      </c>
      <c r="C20" s="249"/>
      <c r="E20" s="238">
        <f>Application!W856</f>
        <v>87000</v>
      </c>
      <c r="F20" s="238"/>
      <c r="G20" s="238">
        <f t="shared" si="0"/>
        <v>90045</v>
      </c>
      <c r="H20" s="238"/>
      <c r="I20" s="238">
        <f t="shared" si="0"/>
        <v>93196.574999999997</v>
      </c>
      <c r="J20" s="238"/>
      <c r="K20" s="238">
        <f t="shared" si="0"/>
        <v>96458.455124999993</v>
      </c>
      <c r="L20" s="238"/>
      <c r="M20" s="238">
        <f t="shared" si="0"/>
        <v>99834.501054374981</v>
      </c>
      <c r="N20" s="238"/>
      <c r="O20" s="238">
        <f t="shared" si="0"/>
        <v>103328.7085912781</v>
      </c>
      <c r="P20" s="238"/>
      <c r="Q20" s="238">
        <f t="shared" si="0"/>
        <v>106945.21339197282</v>
      </c>
      <c r="R20" s="238"/>
      <c r="S20" s="238">
        <f t="shared" si="0"/>
        <v>110688.29586069187</v>
      </c>
      <c r="T20" s="238"/>
      <c r="U20" s="238">
        <f t="shared" si="0"/>
        <v>114562.38621581608</v>
      </c>
      <c r="V20" s="238"/>
      <c r="W20" s="238">
        <f t="shared" si="0"/>
        <v>118572.06973336963</v>
      </c>
      <c r="X20" s="238"/>
      <c r="Y20" s="238">
        <f t="shared" si="0"/>
        <v>122722.09217403756</v>
      </c>
      <c r="Z20" s="238"/>
      <c r="AA20" s="238">
        <f t="shared" si="0"/>
        <v>127017.36540012887</v>
      </c>
      <c r="AB20" s="238"/>
      <c r="AC20" s="238">
        <f t="shared" si="0"/>
        <v>131462.97318913336</v>
      </c>
      <c r="AD20" s="238"/>
      <c r="AE20" s="238">
        <f t="shared" si="0"/>
        <v>136064.17725075301</v>
      </c>
      <c r="AF20" s="238"/>
      <c r="AG20" s="238">
        <f t="shared" si="0"/>
        <v>140826.42345452934</v>
      </c>
    </row>
    <row r="21" spans="1:33" s="225" customFormat="1" ht="14.25">
      <c r="A21" s="242" t="s">
        <v>1002</v>
      </c>
      <c r="B21" s="242"/>
      <c r="C21" s="249"/>
      <c r="E21" s="248">
        <f>Application!W863</f>
        <v>8682</v>
      </c>
      <c r="F21" s="238"/>
      <c r="G21" s="248">
        <f t="shared" si="0"/>
        <v>8985.869999999999</v>
      </c>
      <c r="H21" s="238"/>
      <c r="I21" s="248">
        <f t="shared" si="0"/>
        <v>9300.3754499999977</v>
      </c>
      <c r="J21" s="238"/>
      <c r="K21" s="248">
        <f t="shared" si="0"/>
        <v>9625.8885907499971</v>
      </c>
      <c r="L21" s="238"/>
      <c r="M21" s="248">
        <f t="shared" si="0"/>
        <v>9962.7946914262466</v>
      </c>
      <c r="N21" s="238"/>
      <c r="O21" s="248">
        <f t="shared" si="0"/>
        <v>10311.492505626164</v>
      </c>
      <c r="P21" s="238"/>
      <c r="Q21" s="248">
        <f t="shared" si="0"/>
        <v>10672.394743323079</v>
      </c>
      <c r="R21" s="238"/>
      <c r="S21" s="248">
        <f t="shared" si="0"/>
        <v>11045.928559339385</v>
      </c>
      <c r="T21" s="238"/>
      <c r="U21" s="248">
        <f t="shared" si="0"/>
        <v>11432.536058916263</v>
      </c>
      <c r="V21" s="238"/>
      <c r="W21" s="248">
        <f t="shared" si="0"/>
        <v>11832.674820978331</v>
      </c>
      <c r="X21" s="238"/>
      <c r="Y21" s="248">
        <f t="shared" si="0"/>
        <v>12246.818439712571</v>
      </c>
      <c r="Z21" s="238"/>
      <c r="AA21" s="248">
        <f t="shared" si="0"/>
        <v>12675.457085102511</v>
      </c>
      <c r="AB21" s="238"/>
      <c r="AC21" s="248">
        <f t="shared" si="0"/>
        <v>13119.098083081099</v>
      </c>
      <c r="AD21" s="238"/>
      <c r="AE21" s="248">
        <f t="shared" si="0"/>
        <v>13578.266515988937</v>
      </c>
      <c r="AF21" s="238"/>
      <c r="AG21" s="248">
        <f t="shared" si="0"/>
        <v>14053.505844048548</v>
      </c>
    </row>
    <row r="22" spans="1:33" s="239" customFormat="1" ht="15">
      <c r="A22" s="239" t="s">
        <v>871</v>
      </c>
      <c r="C22" s="249"/>
      <c r="E22" s="239">
        <f>SUM(E15:E21)</f>
        <v>561043</v>
      </c>
      <c r="G22" s="239">
        <f>SUM(G15:G21)</f>
        <v>580679.505</v>
      </c>
      <c r="I22" s="239">
        <f>SUM(I15:I21)</f>
        <v>601003.28767499991</v>
      </c>
      <c r="K22" s="239">
        <f>SUM(K15:K21)</f>
        <v>622038.40274362499</v>
      </c>
      <c r="M22" s="239">
        <f>SUM(M15:M21)</f>
        <v>643809.74683965172</v>
      </c>
      <c r="O22" s="239">
        <f>SUM(O15:O21)</f>
        <v>666343.08797903941</v>
      </c>
      <c r="Q22" s="239">
        <f>SUM(Q15:Q21)</f>
        <v>689665.09605830582</v>
      </c>
      <c r="S22" s="239">
        <f>SUM(S15:S21)</f>
        <v>713803.37442034646</v>
      </c>
      <c r="U22" s="239">
        <f>SUM(U15:U21)</f>
        <v>738786.49252505857</v>
      </c>
      <c r="W22" s="239">
        <f>SUM(W15:W21)</f>
        <v>764644.01976343547</v>
      </c>
      <c r="Y22" s="239">
        <f>SUM(Y15:Y21)</f>
        <v>791406.56045515568</v>
      </c>
      <c r="AA22" s="239">
        <f>SUM(AA15:AA21)</f>
        <v>819105.79007108614</v>
      </c>
      <c r="AC22" s="239">
        <f>SUM(AC15:AC21)</f>
        <v>847774.49272357393</v>
      </c>
      <c r="AE22" s="239">
        <f>SUM(AE15:AE21)</f>
        <v>877446.59996889916</v>
      </c>
      <c r="AG22" s="239">
        <f>SUM(AG15:AG21)</f>
        <v>908157.23096781049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25200</v>
      </c>
      <c r="F27" s="238"/>
      <c r="G27" s="238">
        <f>E27*$C$27</f>
        <v>26081.999999999996</v>
      </c>
      <c r="H27" s="238"/>
      <c r="I27" s="238">
        <f>G27*$C$27</f>
        <v>26994.869999999995</v>
      </c>
      <c r="J27" s="238"/>
      <c r="K27" s="238">
        <f>I27*$C$27</f>
        <v>27939.690449999995</v>
      </c>
      <c r="L27" s="238"/>
      <c r="M27" s="238">
        <f>K27*$C$27</f>
        <v>28917.579615749994</v>
      </c>
      <c r="N27" s="238"/>
      <c r="O27" s="238">
        <f>M27*$C$27</f>
        <v>29929.694902301242</v>
      </c>
      <c r="P27" s="238"/>
      <c r="Q27" s="238">
        <f>O27*$C$27</f>
        <v>30977.234223881784</v>
      </c>
      <c r="R27" s="238"/>
      <c r="S27" s="238">
        <f>Q27*$C$27</f>
        <v>32061.437421717645</v>
      </c>
      <c r="T27" s="238"/>
      <c r="U27" s="238">
        <f>S27*$C$27</f>
        <v>33183.587731477761</v>
      </c>
      <c r="V27" s="238"/>
      <c r="W27" s="238">
        <f>U27*$C$27</f>
        <v>34345.013302079482</v>
      </c>
      <c r="X27" s="238"/>
      <c r="Y27" s="238">
        <f>W27*$C$27</f>
        <v>35547.088767652262</v>
      </c>
      <c r="Z27" s="238"/>
      <c r="AA27" s="238">
        <f>Y27*$C$27</f>
        <v>36791.236874520087</v>
      </c>
      <c r="AB27" s="238"/>
      <c r="AC27" s="238">
        <f>AA27*$C$27</f>
        <v>38078.930165128288</v>
      </c>
      <c r="AD27" s="238"/>
      <c r="AE27" s="238">
        <f>AC27*$C$27</f>
        <v>39411.692720907777</v>
      </c>
      <c r="AF27" s="238"/>
      <c r="AG27" s="238">
        <f>AE27*$C$27</f>
        <v>40791.101966139548</v>
      </c>
    </row>
    <row r="28" spans="1:33" s="225" customFormat="1" ht="14.25">
      <c r="A28" s="225" t="s">
        <v>874</v>
      </c>
      <c r="C28" s="253"/>
      <c r="E28" s="238">
        <f>Application!AC873</f>
        <v>34800</v>
      </c>
      <c r="F28" s="238"/>
      <c r="G28" s="238">
        <f>$E$28</f>
        <v>34800</v>
      </c>
      <c r="H28" s="238"/>
      <c r="I28" s="238">
        <f>$E$28</f>
        <v>34800</v>
      </c>
      <c r="J28" s="238"/>
      <c r="K28" s="238">
        <f>$E$28</f>
        <v>34800</v>
      </c>
      <c r="L28" s="238"/>
      <c r="M28" s="238">
        <f>$E$28</f>
        <v>34800</v>
      </c>
      <c r="N28" s="238"/>
      <c r="O28" s="238">
        <f>$E$28</f>
        <v>34800</v>
      </c>
      <c r="P28" s="238"/>
      <c r="Q28" s="238">
        <f>$E$28</f>
        <v>34800</v>
      </c>
      <c r="R28" s="238"/>
      <c r="S28" s="238">
        <f>$E$28</f>
        <v>34800</v>
      </c>
      <c r="T28" s="238"/>
      <c r="U28" s="238">
        <f>$E$28</f>
        <v>34800</v>
      </c>
      <c r="V28" s="238"/>
      <c r="W28" s="238">
        <f>$E$28</f>
        <v>34800</v>
      </c>
      <c r="X28" s="238"/>
      <c r="Y28" s="238">
        <f>$E$28</f>
        <v>34800</v>
      </c>
      <c r="Z28" s="238"/>
      <c r="AA28" s="238">
        <f>$E$28</f>
        <v>34800</v>
      </c>
      <c r="AB28" s="238"/>
      <c r="AC28" s="238">
        <f>$E$28</f>
        <v>34800</v>
      </c>
      <c r="AD28" s="238"/>
      <c r="AE28" s="238">
        <f>$E$28</f>
        <v>34800</v>
      </c>
      <c r="AF28" s="238"/>
      <c r="AG28" s="238">
        <f>$E$28</f>
        <v>34800</v>
      </c>
    </row>
    <row r="29" spans="1:33" s="225" customFormat="1" ht="14.25">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11832</v>
      </c>
      <c r="F30" s="238"/>
      <c r="G30" s="238">
        <f>E30*$C$30</f>
        <v>12068.64</v>
      </c>
      <c r="H30" s="238"/>
      <c r="I30" s="238">
        <f>G30*$C$30</f>
        <v>12310.0128</v>
      </c>
      <c r="J30" s="238"/>
      <c r="K30" s="238">
        <f>I30*$C$30</f>
        <v>12556.213056000001</v>
      </c>
      <c r="L30" s="238"/>
      <c r="M30" s="238">
        <f>K30*$C$30</f>
        <v>12807.33731712</v>
      </c>
      <c r="N30" s="238"/>
      <c r="O30" s="238">
        <f>M30*$C$30</f>
        <v>13063.4840634624</v>
      </c>
      <c r="P30" s="238"/>
      <c r="Q30" s="238">
        <f>O30*$C$30</f>
        <v>13324.753744731648</v>
      </c>
      <c r="R30" s="238"/>
      <c r="S30" s="238">
        <f>Q30*$C$30</f>
        <v>13591.248819626282</v>
      </c>
      <c r="T30" s="238"/>
      <c r="U30" s="238">
        <f>S30*$C$30</f>
        <v>13863.073796018807</v>
      </c>
      <c r="V30" s="238"/>
      <c r="W30" s="238">
        <f>U30*$C$30</f>
        <v>14140.335271939184</v>
      </c>
      <c r="X30" s="238"/>
      <c r="Y30" s="238">
        <f>W30*$C$30</f>
        <v>14423.141977377969</v>
      </c>
      <c r="Z30" s="238"/>
      <c r="AA30" s="238">
        <f>Y30*$C$30</f>
        <v>14711.604816925528</v>
      </c>
      <c r="AB30" s="238"/>
      <c r="AC30" s="238">
        <f>AA30*$C$30</f>
        <v>15005.836913264038</v>
      </c>
      <c r="AD30" s="238"/>
      <c r="AE30" s="238">
        <f>AC30*$C$30</f>
        <v>15305.953651529318</v>
      </c>
      <c r="AF30" s="238"/>
      <c r="AG30" s="238">
        <f>AE30*$C$30</f>
        <v>15612.072724559905</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632875</v>
      </c>
      <c r="G35" s="239">
        <f>SUM(G22:G33)</f>
        <v>653630.14500000002</v>
      </c>
      <c r="I35" s="239">
        <f>SUM(I22:I33)</f>
        <v>675108.17047499993</v>
      </c>
      <c r="K35" s="239">
        <f>SUM(K22:K33)</f>
        <v>697334.30624962493</v>
      </c>
      <c r="M35" s="239">
        <f>SUM(M22:M33)</f>
        <v>720334.66377252177</v>
      </c>
      <c r="O35" s="239">
        <f>SUM(O22:O33)</f>
        <v>744136.26694480306</v>
      </c>
      <c r="Q35" s="239">
        <f>SUM(Q22:Q33)</f>
        <v>768767.08402691921</v>
      </c>
      <c r="S35" s="239">
        <f>SUM(S22:S33)</f>
        <v>794256.06066169043</v>
      </c>
      <c r="U35" s="239">
        <f>SUM(U22:U33)</f>
        <v>820633.15405255521</v>
      </c>
      <c r="W35" s="239">
        <f>SUM(W22:W33)</f>
        <v>847929.36833745416</v>
      </c>
      <c r="Y35" s="239">
        <f>SUM(Y22:Y33)</f>
        <v>876176.79120018589</v>
      </c>
      <c r="AA35" s="239">
        <f>SUM(AA22:AA33)</f>
        <v>905408.6317625317</v>
      </c>
      <c r="AC35" s="239">
        <f>SUM(AC22:AC33)</f>
        <v>935659.25980196625</v>
      </c>
      <c r="AE35" s="239">
        <f>SUM(AE22:AE33)</f>
        <v>966964.24634133617</v>
      </c>
      <c r="AG35" s="239">
        <f>SUM(AG22:AG33)</f>
        <v>999360.40565850993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1053652.3999999999</v>
      </c>
      <c r="G37" s="239">
        <f>G11-G35</f>
        <v>1075060.4399999997</v>
      </c>
      <c r="I37" s="239">
        <f>I11-I35</f>
        <v>1096799.6791499997</v>
      </c>
      <c r="K37" s="239">
        <f>K11-K35</f>
        <v>1118871.2396159996</v>
      </c>
      <c r="M37" s="239">
        <f>M11-M35</f>
        <v>1141276.020739743</v>
      </c>
      <c r="O37" s="239">
        <f>O11-O35</f>
        <v>1164014.6846802682</v>
      </c>
      <c r="Q37" s="239">
        <f>Q11-Q35</f>
        <v>1187087.6413887788</v>
      </c>
      <c r="S37" s="239">
        <f>S11-S35</f>
        <v>1210495.0328894001</v>
      </c>
      <c r="U37" s="239">
        <f>U11-U35</f>
        <v>1234236.7168373121</v>
      </c>
      <c r="W37" s="239">
        <f>W11-W35</f>
        <v>1258312.2493246598</v>
      </c>
      <c r="Y37" s="239">
        <f>Y11-Y35</f>
        <v>1282720.8669034808</v>
      </c>
      <c r="AA37" s="239">
        <f>AA11-AA35</f>
        <v>1307461.4677937264</v>
      </c>
      <c r="AC37" s="239">
        <f>AC11-AC35</f>
        <v>1332532.5922431983</v>
      </c>
      <c r="AE37" s="239">
        <f>AE11-AE35</f>
        <v>1357932.4020049572</v>
      </c>
      <c r="AG37" s="239">
        <f>AG11-AG35</f>
        <v>1383658.6588964406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 N.A.</v>
      </c>
      <c r="B40" s="242"/>
      <c r="C40" s="236"/>
      <c r="E40" s="238">
        <f>Application!AF623</f>
        <v>910502</v>
      </c>
      <c r="F40" s="238"/>
      <c r="G40" s="238">
        <f>$E$40</f>
        <v>910502</v>
      </c>
      <c r="H40" s="238"/>
      <c r="I40" s="238">
        <f>$E$40</f>
        <v>910502</v>
      </c>
      <c r="J40" s="238"/>
      <c r="K40" s="238">
        <f>$E$40</f>
        <v>910502</v>
      </c>
      <c r="L40" s="238"/>
      <c r="M40" s="238">
        <f>$E$40</f>
        <v>910502</v>
      </c>
      <c r="N40" s="238"/>
      <c r="O40" s="238">
        <f>$E$40</f>
        <v>910502</v>
      </c>
      <c r="P40" s="238"/>
      <c r="Q40" s="238">
        <f>$E$40</f>
        <v>910502</v>
      </c>
      <c r="R40" s="238"/>
      <c r="S40" s="238">
        <f>$E$40</f>
        <v>910502</v>
      </c>
      <c r="T40" s="238"/>
      <c r="U40" s="238">
        <f>$E$40</f>
        <v>910502</v>
      </c>
      <c r="V40" s="238"/>
      <c r="W40" s="238">
        <f>$E$40</f>
        <v>910502</v>
      </c>
      <c r="X40" s="238"/>
      <c r="Y40" s="238">
        <f>$E$40</f>
        <v>910502</v>
      </c>
      <c r="Z40" s="238"/>
      <c r="AA40" s="238">
        <f>$E$40</f>
        <v>910502</v>
      </c>
      <c r="AB40" s="238"/>
      <c r="AC40" s="238">
        <f>$E$40</f>
        <v>910502</v>
      </c>
      <c r="AD40" s="238"/>
      <c r="AE40" s="238">
        <f>$E$40</f>
        <v>910502</v>
      </c>
      <c r="AF40" s="238"/>
      <c r="AG40" s="238">
        <f>$E$40</f>
        <v>910502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910502</v>
      </c>
      <c r="G43" s="239">
        <f>SUM(G40:G42)</f>
        <v>910502</v>
      </c>
      <c r="I43" s="239">
        <f>SUM(I40:I42)</f>
        <v>910502</v>
      </c>
      <c r="K43" s="239">
        <f>SUM(K40:K42)</f>
        <v>910502</v>
      </c>
      <c r="M43" s="239">
        <f>SUM(M40:M42)</f>
        <v>910502</v>
      </c>
      <c r="O43" s="239">
        <f>SUM(O40:O42)</f>
        <v>910502</v>
      </c>
      <c r="Q43" s="239">
        <f>SUM(Q40:Q42)</f>
        <v>910502</v>
      </c>
      <c r="S43" s="239">
        <f>SUM(S40:S42)</f>
        <v>910502</v>
      </c>
      <c r="U43" s="239">
        <f>SUM(U40:U42)</f>
        <v>910502</v>
      </c>
      <c r="W43" s="239">
        <f>SUM(W40:W42)</f>
        <v>910502</v>
      </c>
      <c r="Y43" s="239">
        <f>SUM(Y40:Y42)</f>
        <v>910502</v>
      </c>
      <c r="AA43" s="239">
        <f>SUM(AA40:AA42)</f>
        <v>910502</v>
      </c>
      <c r="AC43" s="239">
        <f>SUM(AC40:AC42)</f>
        <v>910502</v>
      </c>
      <c r="AE43" s="239">
        <f>SUM(AE40:AE42)</f>
        <v>910502</v>
      </c>
      <c r="AG43" s="239">
        <f>SUM(AG40:AG42)</f>
        <v>910502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143150.39999999991</v>
      </c>
      <c r="G45" s="239">
        <f>G37-G43</f>
        <v>164558.43999999971</v>
      </c>
      <c r="I45" s="239">
        <f>I37-I43</f>
        <v>186297.67914999975</v>
      </c>
      <c r="K45" s="239">
        <f>K37-K43</f>
        <v>208369.23961599963</v>
      </c>
      <c r="M45" s="239">
        <f>M37-M43</f>
        <v>230774.02073974302</v>
      </c>
      <c r="O45" s="239">
        <f>O37-O43</f>
        <v>253512.68468026817</v>
      </c>
      <c r="Q45" s="239">
        <f>Q37-Q43</f>
        <v>276585.64138877881</v>
      </c>
      <c r="S45" s="239">
        <f>S37-S43</f>
        <v>299993.03288940014</v>
      </c>
      <c r="U45" s="239">
        <f>U37-U43</f>
        <v>323734.71683731209</v>
      </c>
      <c r="W45" s="239">
        <f>W37-W43</f>
        <v>347810.24932465982</v>
      </c>
      <c r="Y45" s="239">
        <f>Y37-Y43</f>
        <v>372218.86690348084</v>
      </c>
      <c r="AA45" s="239">
        <f>AA37-AA43</f>
        <v>396959.46779372636</v>
      </c>
      <c r="AC45" s="239">
        <f>AC37-AC43</f>
        <v>422030.59224319831</v>
      </c>
      <c r="AE45" s="239">
        <f>AE37-AE43</f>
        <v>447430.4020049572</v>
      </c>
      <c r="AG45" s="239">
        <f>AG37-AG43</f>
        <v>473156.65889644064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8.063484767576258E-2</v>
      </c>
      <c r="G47" s="243">
        <f>G45/(G4+G6+G8)</f>
        <v>9.0432908790325686E-2</v>
      </c>
      <c r="I47" s="243">
        <f>I45/(I4+I6+I8)</f>
        <v>9.9882618179018598E-2</v>
      </c>
      <c r="K47" s="243">
        <f>K45/(K4+K6+K8)</f>
        <v>0.10899139587246114</v>
      </c>
      <c r="M47" s="243">
        <f>M45/(M4+M6+M8)</f>
        <v>0.11776647046919733</v>
      </c>
      <c r="O47" s="243">
        <f>O45/(O4+O6+O8)</f>
        <v>0.1262148837025428</v>
      </c>
      <c r="Q47" s="243">
        <f>Q45/(Q4+Q6+Q8)</f>
        <v>0.13434349489504827</v>
      </c>
      <c r="S47" s="243">
        <f>S45/(S4+S6+S8)</f>
        <v>0.142158985303313</v>
      </c>
      <c r="U47" s="243">
        <f>U45/(U4+U6+U8)</f>
        <v>0.14966786235581037</v>
      </c>
      <c r="W47" s="243">
        <f>W45/(W4+W6+W8)</f>
        <v>0.15687646378632766</v>
      </c>
      <c r="Y47" s="243">
        <f>Y45/(Y4+Y6+Y8)</f>
        <v>0.1637909616655516</v>
      </c>
      <c r="AA47" s="243">
        <f>AA45/(AA4+AA6+AA8)</f>
        <v>0.17041736633327975</v>
      </c>
      <c r="AC47" s="243">
        <f>AC45/(AC4+AC6+AC8)</f>
        <v>0.17676153023366695</v>
      </c>
      <c r="AE47" s="243">
        <f>AE45/(AE4+AE6+AE8)</f>
        <v>0.18282915165586183</v>
      </c>
      <c r="AG47" s="243">
        <f>AG45/(AG4+AG6+AG8)</f>
        <v>0.18862577838233385</v>
      </c>
    </row>
    <row r="48" spans="1:33" s="243" customFormat="1" ht="14.25">
      <c r="A48" s="243" t="s">
        <v>880</v>
      </c>
      <c r="C48" s="236"/>
      <c r="E48" s="243">
        <f>E45/E43</f>
        <v>0.15722140094145856</v>
      </c>
      <c r="G48" s="243">
        <f>G45/G43</f>
        <v>0.18073374907468595</v>
      </c>
      <c r="I48" s="243">
        <f>I45/I43</f>
        <v>0.20460985165326354</v>
      </c>
      <c r="K48" s="243">
        <f>K45/K43</f>
        <v>0.22885094114675161</v>
      </c>
      <c r="M48" s="243">
        <f>M45/M43</f>
        <v>0.25345800529789392</v>
      </c>
      <c r="O48" s="243">
        <f>O45/O43</f>
        <v>0.27843177135280117</v>
      </c>
      <c r="Q48" s="243">
        <f>Q45/Q43</f>
        <v>0.30377268955892334</v>
      </c>
      <c r="S48" s="243">
        <f>S45/S43</f>
        <v>0.32948091590067913</v>
      </c>
      <c r="U48" s="243">
        <f>U45/U43</f>
        <v>0.35555629404143219</v>
      </c>
      <c r="W48" s="243">
        <f>W45/W43</f>
        <v>0.3819983364393047</v>
      </c>
      <c r="Y48" s="243">
        <f>Y45/Y43</f>
        <v>0.40880620460304407</v>
      </c>
      <c r="AA48" s="243">
        <f>AA45/AA43</f>
        <v>0.43597868845288246</v>
      </c>
      <c r="AC48" s="243">
        <f>AC45/AC43</f>
        <v>0.46351418474994927</v>
      </c>
      <c r="AE48" s="243">
        <f>AE45/AE43</f>
        <v>0.49141067455640647</v>
      </c>
      <c r="AG48" s="243">
        <f>AG45/AG43</f>
        <v>0.51966569968703047</v>
      </c>
    </row>
    <row r="49" spans="1:35" s="244" customFormat="1" ht="14.25">
      <c r="A49" s="244" t="s">
        <v>878</v>
      </c>
      <c r="C49" s="245"/>
      <c r="E49" s="244">
        <f>E37/E43</f>
        <v>1.1572214009414585</v>
      </c>
      <c r="G49" s="244">
        <f>G37/G43</f>
        <v>1.1807337490746859</v>
      </c>
      <c r="I49" s="244">
        <f>I37/I43</f>
        <v>1.2046098516532635</v>
      </c>
      <c r="K49" s="244">
        <f>K37/K43</f>
        <v>1.2288509411467516</v>
      </c>
      <c r="M49" s="244">
        <f>M37/M43</f>
        <v>1.2534580052978939</v>
      </c>
      <c r="O49" s="244">
        <f>O37/O43</f>
        <v>1.2784317713528011</v>
      </c>
      <c r="Q49" s="244">
        <f>Q37/Q43</f>
        <v>1.3037726895589232</v>
      </c>
      <c r="S49" s="244">
        <f>S37/S43</f>
        <v>1.3294809159006791</v>
      </c>
      <c r="U49" s="244">
        <f>U37/U43</f>
        <v>1.3555562940414323</v>
      </c>
      <c r="W49" s="244">
        <f>W37/W43</f>
        <v>1.3819983364393047</v>
      </c>
      <c r="Y49" s="244">
        <f>Y37/Y43</f>
        <v>1.4088062046030441</v>
      </c>
      <c r="AA49" s="244">
        <f>AA37/AA43</f>
        <v>1.4359786884528825</v>
      </c>
      <c r="AC49" s="244">
        <f>AC37/AC43</f>
        <v>1.4635141847499493</v>
      </c>
      <c r="AE49" s="244">
        <f>AE37/AE43</f>
        <v>1.4914106745564064</v>
      </c>
      <c r="AG49" s="244">
        <f>AG37/AG43</f>
        <v>1.5196656996870306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3" t="s">
        <v>1327</v>
      </c>
      <c r="B52" s="2533"/>
      <c r="C52" s="253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143150.39999999991</v>
      </c>
      <c r="G60" s="999">
        <f>G45-G58</f>
        <v>164558.43999999971</v>
      </c>
      <c r="I60" s="999">
        <f>I45-I58</f>
        <v>186297.67914999975</v>
      </c>
      <c r="K60" s="999">
        <f>K45-K58</f>
        <v>208369.23961599963</v>
      </c>
      <c r="M60" s="999">
        <f>M45-M58</f>
        <v>230774.02073974302</v>
      </c>
      <c r="O60" s="999">
        <f>O45-O58</f>
        <v>253512.68468026817</v>
      </c>
      <c r="Q60" s="999">
        <f>Q45-Q58</f>
        <v>276585.64138877881</v>
      </c>
      <c r="S60" s="999">
        <f>S45-S58</f>
        <v>299993.03288940014</v>
      </c>
      <c r="U60" s="999">
        <f>U45-U58</f>
        <v>323734.71683731209</v>
      </c>
      <c r="W60" s="999">
        <f>W45-W58</f>
        <v>347810.24932465982</v>
      </c>
      <c r="Y60" s="999">
        <f>Y45-Y58</f>
        <v>372218.86690348084</v>
      </c>
      <c r="AA60" s="999">
        <f>AA45-AA58</f>
        <v>396959.46779372636</v>
      </c>
      <c r="AC60" s="999">
        <f>AC45-AC58</f>
        <v>422030.59224319831</v>
      </c>
      <c r="AE60" s="999">
        <f>AE45-AE58</f>
        <v>447430.4020049572</v>
      </c>
      <c r="AG60" s="999">
        <f>AG45-AG58</f>
        <v>473156.65889644064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71575.199999999953</v>
      </c>
      <c r="G62" s="999">
        <f>G60*$C$62</f>
        <v>82279.219999999856</v>
      </c>
      <c r="I62" s="999">
        <f>I60*$C$62</f>
        <v>93148.839574999874</v>
      </c>
      <c r="K62" s="999">
        <f>K60*$C$62</f>
        <v>104184.61980799981</v>
      </c>
      <c r="M62" s="999">
        <f>M60*$C$62</f>
        <v>115387.01036987151</v>
      </c>
      <c r="O62" s="999">
        <f>O60*$C$62</f>
        <v>126756.34234013408</v>
      </c>
      <c r="Q62" s="999">
        <f>Q60*$C$62</f>
        <v>138292.8206943894</v>
      </c>
      <c r="S62" s="999">
        <f>S60*$C$62</f>
        <v>149996.51644470007</v>
      </c>
      <c r="U62" s="999">
        <f>U60*$C$62</f>
        <v>161867.35841865605</v>
      </c>
      <c r="W62" s="999">
        <f>W60*$C$62</f>
        <v>173905.12466232991</v>
      </c>
      <c r="Y62" s="999">
        <f>Y60*$C$62</f>
        <v>186109.43345174042</v>
      </c>
      <c r="AA62" s="999">
        <f>AA60*$C$62</f>
        <v>198479.73389686318</v>
      </c>
      <c r="AC62" s="999">
        <f>AC60*$C$62</f>
        <v>211015.29612159915</v>
      </c>
      <c r="AE62" s="999">
        <f>AE60*$C$62</f>
        <v>223715.2010024786</v>
      </c>
      <c r="AG62" s="999">
        <f>AG60*$C$62</f>
        <v>236578.32944822032</v>
      </c>
    </row>
    <row r="63" spans="1:35" s="999" customFormat="1">
      <c r="A63" s="2533" t="s">
        <v>1327</v>
      </c>
      <c r="B63" s="2533"/>
      <c r="C63" s="253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35787.599999999977</v>
      </c>
      <c r="G66" s="997">
        <f>G60*$C$65</f>
        <v>41139.609999999928</v>
      </c>
      <c r="I66" s="997">
        <f>I60*$C$65</f>
        <v>46574.419787499937</v>
      </c>
      <c r="K66" s="997">
        <f>K60*$C$65</f>
        <v>52092.309903999907</v>
      </c>
      <c r="M66" s="997">
        <f>M60*$C$65</f>
        <v>57693.505184935755</v>
      </c>
      <c r="O66" s="997">
        <f>O60*$C$65</f>
        <v>63378.171170067042</v>
      </c>
      <c r="Q66" s="997">
        <f>Q60*$C$65</f>
        <v>69146.410347194702</v>
      </c>
      <c r="S66" s="997">
        <f>S60*$C$65</f>
        <v>74998.258222350036</v>
      </c>
      <c r="U66" s="997">
        <f>U60*$C$65</f>
        <v>80933.679209328024</v>
      </c>
      <c r="W66" s="997">
        <f>W60*$C$65</f>
        <v>86952.562331164954</v>
      </c>
      <c r="Y66" s="997">
        <f>Y60*$C$65</f>
        <v>93054.71672587021</v>
      </c>
      <c r="AA66" s="997">
        <f>AA60*$C$65</f>
        <v>99239.866948431591</v>
      </c>
      <c r="AC66" s="997">
        <f>AC60*$C$65</f>
        <v>105507.64806079958</v>
      </c>
      <c r="AE66" s="997">
        <f>AE60*$C$65</f>
        <v>111857.6005012393</v>
      </c>
      <c r="AG66" s="997">
        <f>AG60*$C$65</f>
        <v>118289.16472411016</v>
      </c>
    </row>
    <row r="67" spans="1:35" s="997" customFormat="1">
      <c r="A67" s="1002"/>
      <c r="B67" s="1002"/>
      <c r="C67" s="1007"/>
      <c r="E67" s="1001">
        <f>$E60*$C$65</f>
        <v>35787.599999999977</v>
      </c>
      <c r="G67" s="997">
        <f>G60*$C$65</f>
        <v>41139.609999999928</v>
      </c>
      <c r="I67" s="997">
        <f>I60*$C$65</f>
        <v>46574.419787499937</v>
      </c>
      <c r="K67" s="997">
        <f>K60*$C$65</f>
        <v>52092.309903999907</v>
      </c>
      <c r="M67" s="997">
        <f>M60*$C$65</f>
        <v>57693.505184935755</v>
      </c>
      <c r="O67" s="997">
        <f>O60*$C$65</f>
        <v>63378.171170067042</v>
      </c>
      <c r="Q67" s="997">
        <f>Q60*$C$65</f>
        <v>69146.410347194702</v>
      </c>
      <c r="S67" s="997">
        <f>S60*$C$65</f>
        <v>74998.258222350036</v>
      </c>
      <c r="U67" s="997">
        <f>U60*$C$65</f>
        <v>80933.679209328024</v>
      </c>
      <c r="W67" s="997">
        <f>W60*$C$65</f>
        <v>86952.562331164954</v>
      </c>
      <c r="Y67" s="997">
        <f>Y60*$C$65</f>
        <v>93054.71672587021</v>
      </c>
      <c r="AA67" s="997">
        <f>AA60*$C$65</f>
        <v>99239.866948431591</v>
      </c>
      <c r="AC67" s="997">
        <f>AC60*$C$65</f>
        <v>105507.64806079958</v>
      </c>
      <c r="AE67" s="997">
        <f>AE60*$C$65</f>
        <v>111857.6005012393</v>
      </c>
      <c r="AG67" s="997">
        <f>AG60*$C$65</f>
        <v>118289.16472411016</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71575.199999999953</v>
      </c>
      <c r="G70" s="997">
        <f>SUM(G66:G69)</f>
        <v>82279.219999999856</v>
      </c>
      <c r="I70" s="997">
        <f>SUM(I66:I69)</f>
        <v>93148.839574999874</v>
      </c>
      <c r="K70" s="997">
        <f>SUM(K66:K69)</f>
        <v>104184.61980799981</v>
      </c>
      <c r="M70" s="997">
        <f>SUM(M66:M69)</f>
        <v>115387.01036987151</v>
      </c>
      <c r="O70" s="997">
        <f>SUM(O66:O69)</f>
        <v>126756.34234013408</v>
      </c>
      <c r="Q70" s="997">
        <f>SUM(Q66:Q69)</f>
        <v>138292.8206943894</v>
      </c>
      <c r="S70" s="997">
        <f>SUM(S66:S69)</f>
        <v>149996.51644470007</v>
      </c>
      <c r="U70" s="997">
        <f>SUM(U66:U69)</f>
        <v>161867.35841865605</v>
      </c>
      <c r="W70" s="997">
        <f>SUM(W66:W69)</f>
        <v>173905.12466232991</v>
      </c>
      <c r="Y70" s="997">
        <f>SUM(Y66:Y69)</f>
        <v>186109.43345174042</v>
      </c>
      <c r="AA70" s="997">
        <f>SUM(AA66:AA69)</f>
        <v>198479.73389686318</v>
      </c>
      <c r="AC70" s="997">
        <f>SUM(AC66:AC69)</f>
        <v>211015.29612159915</v>
      </c>
      <c r="AE70" s="997">
        <f>SUM(AE66:AE69)</f>
        <v>223715.2010024786</v>
      </c>
      <c r="AG70" s="997">
        <f>SUM(AG66:AG69)</f>
        <v>236578.32944822032</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1" t="s">
        <v>1981</v>
      </c>
      <c r="B77" s="2532"/>
      <c r="C77" s="2532"/>
      <c r="D77" s="2532"/>
      <c r="E77" s="2532"/>
      <c r="F77" s="2532"/>
      <c r="G77" s="2532"/>
      <c r="H77" s="2532"/>
      <c r="I77" s="2532"/>
      <c r="J77" s="2532"/>
      <c r="K77" s="2532"/>
      <c r="L77" s="2532"/>
      <c r="M77" s="2532"/>
      <c r="N77" s="2532"/>
      <c r="O77" s="2532"/>
      <c r="P77" s="2532"/>
      <c r="Q77" s="2532"/>
      <c r="R77" s="2532"/>
      <c r="S77" s="2532"/>
      <c r="T77" s="2532"/>
      <c r="U77" s="2532"/>
      <c r="V77" s="2532"/>
      <c r="W77" s="2532"/>
      <c r="X77" s="2532"/>
      <c r="Y77" s="2532"/>
      <c r="Z77" s="2532"/>
      <c r="AA77" s="2532"/>
      <c r="AB77" s="2532"/>
      <c r="AC77" s="2532"/>
      <c r="AD77" s="2532"/>
      <c r="AE77" s="2532"/>
      <c r="AF77" s="2532"/>
      <c r="AG77" s="253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1</v>
      </c>
      <c r="C5" s="286">
        <f>'Sources and Uses Budget'!$C4</f>
        <v>1</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v>
      </c>
      <c r="C9" s="290">
        <f>SUM(C5:C8)</f>
        <v>1</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103526</v>
      </c>
      <c r="C11" s="286">
        <f>'Sources and Uses Budget'!$C10</f>
        <v>103526</v>
      </c>
      <c r="D11" s="290">
        <f t="shared" si="0"/>
        <v>0</v>
      </c>
      <c r="E11" s="288"/>
      <c r="F11" s="287"/>
      <c r="G11" s="384"/>
    </row>
    <row r="12" spans="1:7" s="381" customFormat="1">
      <c r="A12" s="397" t="s">
        <v>605</v>
      </c>
      <c r="B12" s="290">
        <f>SUM(B10:B11)</f>
        <v>103526</v>
      </c>
      <c r="C12" s="290">
        <f>SUM(C10:C11)</f>
        <v>103526</v>
      </c>
      <c r="D12" s="290">
        <f t="shared" si="0"/>
        <v>0</v>
      </c>
      <c r="E12" s="288"/>
      <c r="F12" s="287"/>
      <c r="G12" s="384"/>
    </row>
    <row r="13" spans="1:7" s="381" customFormat="1">
      <c r="A13" s="397" t="s">
        <v>85</v>
      </c>
      <c r="B13" s="290">
        <f>SUM(B9+B12)</f>
        <v>103527</v>
      </c>
      <c r="C13" s="290">
        <f>SUM(C9+C12)</f>
        <v>103527</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3450858</v>
      </c>
      <c r="C30" s="286">
        <f>'Sources and Uses Budget'!$C29</f>
        <v>3450858</v>
      </c>
      <c r="D30" s="290">
        <f t="shared" si="0"/>
        <v>0</v>
      </c>
      <c r="E30" s="288"/>
      <c r="F30" s="287"/>
      <c r="G30" s="384"/>
    </row>
    <row r="31" spans="1:7" s="381" customFormat="1">
      <c r="A31" s="145" t="s">
        <v>608</v>
      </c>
      <c r="B31" s="286">
        <f>'Sources and Uses Budget'!$C30</f>
        <v>18253960</v>
      </c>
      <c r="C31" s="286">
        <f>'Sources and Uses Budget'!$C30</f>
        <v>18253960</v>
      </c>
      <c r="D31" s="290">
        <f t="shared" si="0"/>
        <v>0</v>
      </c>
      <c r="E31" s="288"/>
      <c r="F31" s="287"/>
      <c r="G31" s="384"/>
    </row>
    <row r="32" spans="1:7" s="381" customFormat="1">
      <c r="A32" s="145" t="s">
        <v>609</v>
      </c>
      <c r="B32" s="286">
        <f>'Sources and Uses Budget'!$C31</f>
        <v>975000</v>
      </c>
      <c r="C32" s="286">
        <f>'Sources and Uses Budget'!$C31</f>
        <v>975000</v>
      </c>
      <c r="D32" s="290">
        <f t="shared" si="0"/>
        <v>0</v>
      </c>
      <c r="E32" s="288"/>
      <c r="F32" s="287"/>
      <c r="G32" s="384"/>
    </row>
    <row r="33" spans="1:7" s="381" customFormat="1">
      <c r="A33" s="145" t="s">
        <v>138</v>
      </c>
      <c r="B33" s="286">
        <f>'Sources and Uses Budget'!$C32</f>
        <v>1085539</v>
      </c>
      <c r="C33" s="286">
        <f>'Sources and Uses Budget'!$C32</f>
        <v>1085539</v>
      </c>
      <c r="D33" s="290">
        <f t="shared" si="0"/>
        <v>0</v>
      </c>
      <c r="E33" s="288"/>
      <c r="F33" s="287"/>
      <c r="G33" s="384"/>
    </row>
    <row r="34" spans="1:7" s="381" customFormat="1">
      <c r="A34" s="145" t="s">
        <v>139</v>
      </c>
      <c r="B34" s="286">
        <f>'Sources and Uses Budget'!$C33</f>
        <v>1085539</v>
      </c>
      <c r="C34" s="286">
        <f>'Sources and Uses Budget'!$C33</f>
        <v>1085539</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658797</v>
      </c>
      <c r="C36" s="286">
        <f>'Sources and Uses Budget'!$C35</f>
        <v>658797</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25509693</v>
      </c>
      <c r="C39" s="290">
        <f>SUM(C30:C38)</f>
        <v>25509693</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910402</v>
      </c>
      <c r="C41" s="286">
        <f>'Sources and Uses Budget'!$C40</f>
        <v>910402</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910402</v>
      </c>
      <c r="C43" s="290">
        <f>SUM(C41:C42)</f>
        <v>910402</v>
      </c>
      <c r="D43" s="290">
        <f t="shared" si="0"/>
        <v>0</v>
      </c>
      <c r="E43" s="288"/>
      <c r="F43" s="287"/>
      <c r="G43" s="384"/>
    </row>
    <row r="44" spans="1:7" s="381" customFormat="1">
      <c r="A44" s="291" t="s">
        <v>149</v>
      </c>
      <c r="B44" s="286">
        <f>'Sources and Uses Budget'!$C43</f>
        <v>186953</v>
      </c>
      <c r="C44" s="286">
        <f>'Sources and Uses Budget'!$C43</f>
        <v>186953</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1617446</v>
      </c>
      <c r="C46" s="286">
        <f>'Sources and Uses Budget'!$C45</f>
        <v>1617446</v>
      </c>
      <c r="D46" s="290">
        <f t="shared" si="0"/>
        <v>0</v>
      </c>
      <c r="E46" s="288"/>
      <c r="F46" s="287"/>
      <c r="G46" s="384"/>
    </row>
    <row r="47" spans="1:7" s="381" customFormat="1">
      <c r="A47" s="145" t="s">
        <v>152</v>
      </c>
      <c r="B47" s="286">
        <f>'Sources and Uses Budget'!$C46</f>
        <v>45273</v>
      </c>
      <c r="C47" s="286">
        <f>'Sources and Uses Budget'!$C46</f>
        <v>45273</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110000</v>
      </c>
      <c r="C51" s="286">
        <f>'Sources and Uses Budget'!$C50</f>
        <v>110000</v>
      </c>
      <c r="D51" s="290">
        <f t="shared" si="0"/>
        <v>0</v>
      </c>
      <c r="E51" s="288"/>
      <c r="F51" s="287"/>
      <c r="G51" s="384"/>
    </row>
    <row r="52" spans="1:7" s="381" customFormat="1">
      <c r="A52" s="304" t="s">
        <v>155</v>
      </c>
      <c r="B52" s="286">
        <f>'Sources and Uses Budget'!$C51</f>
        <v>74037</v>
      </c>
      <c r="C52" s="286">
        <f>'Sources and Uses Budget'!$C51</f>
        <v>74037</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(Construction Inspection Fees)</v>
      </c>
      <c r="B54" s="286">
        <f>'Sources and Uses Budget'!$C53</f>
        <v>27000</v>
      </c>
      <c r="C54" s="286">
        <f>'Sources and Uses Budget'!$C53</f>
        <v>27000</v>
      </c>
      <c r="D54" s="290">
        <f t="shared" si="0"/>
        <v>0</v>
      </c>
      <c r="E54" s="288"/>
      <c r="F54" s="287"/>
      <c r="G54" s="384"/>
    </row>
    <row r="55" spans="1:7" s="382" customFormat="1">
      <c r="A55" s="291" t="s">
        <v>158</v>
      </c>
      <c r="B55" s="293">
        <f>SUM(B46:B54)</f>
        <v>1873756</v>
      </c>
      <c r="C55" s="293">
        <f>SUM(C46:C54)</f>
        <v>1873756</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290465</v>
      </c>
      <c r="C57" s="286">
        <f>'Sources and Uses Budget'!$C56</f>
        <v>290465</v>
      </c>
      <c r="D57" s="290">
        <f t="shared" si="0"/>
        <v>0</v>
      </c>
      <c r="E57" s="288"/>
      <c r="F57" s="287"/>
      <c r="G57" s="384"/>
    </row>
    <row r="58" spans="1:7" s="381" customFormat="1" ht="12" customHeight="1">
      <c r="A58" s="289" t="s">
        <v>153</v>
      </c>
      <c r="B58" s="286">
        <f>'Sources and Uses Budget'!$C57</f>
        <v>199853</v>
      </c>
      <c r="C58" s="286">
        <f>'Sources and Uses Budget'!$C57</f>
        <v>199853</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(Interest Prior to Conversion)</v>
      </c>
      <c r="B62" s="286">
        <f>'Sources and Uses Budget'!$C61</f>
        <v>2569711</v>
      </c>
      <c r="C62" s="286">
        <f>'Sources and Uses Budget'!$C61</f>
        <v>2569711</v>
      </c>
      <c r="D62" s="290">
        <f t="shared" si="0"/>
        <v>0</v>
      </c>
      <c r="E62" s="288"/>
      <c r="F62" s="287"/>
      <c r="G62" s="384"/>
    </row>
    <row r="63" spans="1:7" s="381" customFormat="1" ht="13.7" customHeight="1">
      <c r="A63" s="291" t="s">
        <v>302</v>
      </c>
      <c r="B63" s="290">
        <f>SUM(B57:B62)</f>
        <v>3060029</v>
      </c>
      <c r="C63" s="290">
        <f>SUM(C57:C62)</f>
        <v>3060029</v>
      </c>
      <c r="D63" s="290">
        <f t="shared" si="0"/>
        <v>0</v>
      </c>
      <c r="E63" s="288"/>
      <c r="F63" s="287"/>
      <c r="G63" s="384"/>
    </row>
    <row r="64" spans="1:7" s="381" customFormat="1">
      <c r="A64" s="294" t="s">
        <v>303</v>
      </c>
      <c r="B64" s="290">
        <f>SUM(B9+B12+B14+B15+B17+B26+B28+B39+B43+B44+B55+B63)</f>
        <v>31644360</v>
      </c>
      <c r="C64" s="290">
        <f>SUM(C9+C12+C14+C15+C17+C26+C28+C39+C43+C44+C55+C63)</f>
        <v>31644360</v>
      </c>
      <c r="D64" s="290">
        <f t="shared" si="0"/>
        <v>0</v>
      </c>
      <c r="E64" s="288"/>
      <c r="F64" s="287"/>
      <c r="G64" s="384"/>
    </row>
    <row r="65" spans="1:7" s="381" customFormat="1" ht="24">
      <c r="A65" s="141" t="s">
        <v>1824</v>
      </c>
      <c r="B65" s="284"/>
      <c r="C65" s="284"/>
      <c r="D65" s="284"/>
      <c r="E65" s="303"/>
      <c r="F65" s="284"/>
      <c r="G65" s="384"/>
    </row>
    <row r="66" spans="1:7" s="381" customFormat="1">
      <c r="A66" s="145" t="s">
        <v>171</v>
      </c>
      <c r="B66" s="286">
        <f>'Sources and Uses Budget'!$C65</f>
        <v>85000</v>
      </c>
      <c r="C66" s="286">
        <f>'Sources and Uses Budget'!$C65</f>
        <v>85000</v>
      </c>
      <c r="D66" s="290">
        <f t="shared" si="0"/>
        <v>0</v>
      </c>
      <c r="E66" s="288"/>
      <c r="F66" s="287"/>
      <c r="G66" s="384"/>
    </row>
    <row r="67" spans="1:7" s="381" customFormat="1" ht="24">
      <c r="A67" s="304" t="s">
        <v>1821</v>
      </c>
      <c r="B67" s="286">
        <f>'Sources and Uses Budget'!$C66</f>
        <v>0</v>
      </c>
      <c r="C67" s="286">
        <f>'Sources and Uses Budget'!$C66</f>
        <v>0</v>
      </c>
      <c r="D67" s="290"/>
      <c r="E67" s="288"/>
      <c r="F67" s="287"/>
      <c r="G67" s="384"/>
    </row>
    <row r="68" spans="1:7" s="381" customFormat="1" ht="24">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1825</v>
      </c>
      <c r="B71" s="290">
        <f>SUM(B66:B70)</f>
        <v>85000</v>
      </c>
      <c r="C71" s="290">
        <f>SUM(C66:C70)</f>
        <v>85000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386574</v>
      </c>
      <c r="C76" s="286">
        <f>'Sources and Uses Budget'!$C75</f>
        <v>386574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386574</v>
      </c>
      <c r="C78" s="290">
        <f>SUM(C73:C77)</f>
        <v>386574</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2495443</v>
      </c>
      <c r="C80" s="286">
        <f>'Sources and Uses Budget'!$C79</f>
        <v>2495443</v>
      </c>
      <c r="D80" s="290">
        <f t="shared" si="1"/>
        <v>0</v>
      </c>
      <c r="E80" s="288"/>
      <c r="F80" s="287"/>
      <c r="G80" s="384"/>
    </row>
    <row r="81" spans="1:7" s="381" customFormat="1">
      <c r="A81" s="545" t="s">
        <v>58</v>
      </c>
      <c r="B81" s="286">
        <f>'Sources and Uses Budget'!$C80</f>
        <v>407113</v>
      </c>
      <c r="C81" s="286">
        <f>'Sources and Uses Budget'!$C80</f>
        <v>407113</v>
      </c>
      <c r="D81" s="290">
        <f>C81-B81</f>
        <v>0</v>
      </c>
      <c r="E81" s="288"/>
      <c r="F81" s="287"/>
      <c r="G81" s="384"/>
    </row>
    <row r="82" spans="1:7" s="381" customFormat="1">
      <c r="A82" s="291" t="s">
        <v>1352</v>
      </c>
      <c r="B82" s="290">
        <f>SUM(B80:B81)</f>
        <v>2902556</v>
      </c>
      <c r="C82" s="290">
        <f>SUM(C80:C81)</f>
        <v>2902556</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70925</v>
      </c>
      <c r="C84" s="286">
        <f>'Sources and Uses Budget'!$C83</f>
        <v>70925</v>
      </c>
      <c r="D84" s="290">
        <f t="shared" si="1"/>
        <v>0</v>
      </c>
      <c r="E84" s="288"/>
      <c r="F84" s="287"/>
      <c r="G84" s="384"/>
    </row>
    <row r="85" spans="1:7" s="381" customFormat="1">
      <c r="A85" s="289" t="s">
        <v>791</v>
      </c>
      <c r="B85" s="286">
        <f>'Sources and Uses Budget'!$C84</f>
        <v>0</v>
      </c>
      <c r="C85" s="286">
        <f>'Sources and Uses Budget'!$C84</f>
        <v>0</v>
      </c>
      <c r="D85" s="290">
        <f t="shared" si="1"/>
        <v>0</v>
      </c>
      <c r="E85" s="288"/>
      <c r="F85" s="287"/>
      <c r="G85" s="384"/>
    </row>
    <row r="86" spans="1:7" s="381" customFormat="1">
      <c r="A86" s="289" t="s">
        <v>792</v>
      </c>
      <c r="B86" s="286">
        <f>'Sources and Uses Budget'!$C85</f>
        <v>5676580</v>
      </c>
      <c r="C86" s="286">
        <f>'Sources and Uses Budget'!$C85</f>
        <v>5676580</v>
      </c>
      <c r="D86" s="290">
        <f t="shared" si="1"/>
        <v>0</v>
      </c>
      <c r="E86" s="288"/>
      <c r="F86" s="287"/>
      <c r="G86" s="384"/>
    </row>
    <row r="87" spans="1:7" s="381" customFormat="1">
      <c r="A87" s="289" t="s">
        <v>793</v>
      </c>
      <c r="B87" s="286">
        <f>'Sources and Uses Budget'!$C86</f>
        <v>538314</v>
      </c>
      <c r="C87" s="286">
        <f>'Sources and Uses Budget'!$C86</f>
        <v>538314</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152000</v>
      </c>
      <c r="C89" s="286">
        <f>'Sources and Uses Budget'!$C88</f>
        <v>152000</v>
      </c>
      <c r="D89" s="290">
        <f t="shared" si="1"/>
        <v>0</v>
      </c>
      <c r="E89" s="288"/>
      <c r="F89" s="287"/>
      <c r="G89" s="384"/>
    </row>
    <row r="90" spans="1:7" s="381" customFormat="1">
      <c r="A90" s="289" t="s">
        <v>796</v>
      </c>
      <c r="B90" s="286">
        <f>'Sources and Uses Budget'!$C89</f>
        <v>244975</v>
      </c>
      <c r="C90" s="286">
        <f>'Sources and Uses Budget'!$C89</f>
        <v>244975</v>
      </c>
      <c r="D90" s="290">
        <f t="shared" si="1"/>
        <v>0</v>
      </c>
      <c r="E90" s="288"/>
      <c r="F90" s="287"/>
      <c r="G90" s="384"/>
    </row>
    <row r="91" spans="1:7" s="381" customFormat="1">
      <c r="A91" s="289" t="s">
        <v>797</v>
      </c>
      <c r="B91" s="286">
        <f>'Sources and Uses Budget'!$C90</f>
        <v>7500</v>
      </c>
      <c r="C91" s="286">
        <f>'Sources and Uses Budget'!$C90</f>
        <v>7500</v>
      </c>
      <c r="D91" s="290">
        <f t="shared" si="1"/>
        <v>0</v>
      </c>
      <c r="E91" s="288"/>
      <c r="F91" s="287"/>
      <c r="G91" s="384"/>
    </row>
    <row r="92" spans="1:7" s="381" customFormat="1">
      <c r="A92" s="289" t="s">
        <v>373</v>
      </c>
      <c r="B92" s="286">
        <f>'Sources and Uses Budget'!$C91</f>
        <v>25000</v>
      </c>
      <c r="C92" s="286">
        <f>'Sources and Uses Budget'!$C91</f>
        <v>25000</v>
      </c>
      <c r="D92" s="290">
        <f t="shared" si="1"/>
        <v>0</v>
      </c>
      <c r="E92" s="288"/>
      <c r="F92" s="287"/>
      <c r="G92" s="384"/>
    </row>
    <row r="93" spans="1:7" s="381" customFormat="1">
      <c r="A93" s="545" t="s">
        <v>1354</v>
      </c>
      <c r="B93" s="286">
        <f>'Sources and Uses Budget'!$C92</f>
        <v>5000</v>
      </c>
      <c r="C93" s="286">
        <f>'Sources and Uses Budget'!$C92</f>
        <v>5000</v>
      </c>
      <c r="D93" s="290">
        <f t="shared" si="1"/>
        <v>0</v>
      </c>
      <c r="E93" s="288"/>
      <c r="F93" s="287"/>
      <c r="G93" s="384"/>
    </row>
    <row r="94" spans="1:7" s="381" customFormat="1">
      <c r="A94" s="292" t="s">
        <v>34</v>
      </c>
      <c r="B94" s="286">
        <f>'Sources and Uses Budget'!$C93</f>
        <v>99490</v>
      </c>
      <c r="C94" s="286">
        <f>'Sources and Uses Budget'!$C93</f>
        <v>99490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6819784</v>
      </c>
      <c r="C97" s="290">
        <f>SUM(C84:C96)</f>
        <v>6819784</v>
      </c>
      <c r="D97" s="290">
        <f t="shared" si="1"/>
        <v>0</v>
      </c>
      <c r="E97" s="288"/>
      <c r="F97" s="287"/>
      <c r="G97" s="384"/>
    </row>
    <row r="98" spans="1:7" s="381" customFormat="1">
      <c r="A98" s="291" t="s">
        <v>799</v>
      </c>
      <c r="B98" s="290">
        <f>SUM(B64+B71+B78+B82+B97)</f>
        <v>41838274</v>
      </c>
      <c r="C98" s="290">
        <f>SUM(C64+C71+C78+C82+C97)</f>
        <v>41838274</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5712561</v>
      </c>
      <c r="C100" s="286">
        <f>'Sources and Uses Budget'!$C99</f>
        <v>5712561</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5712561</v>
      </c>
      <c r="C105" s="290">
        <f>SUM(C100:C104)</f>
        <v>5712561</v>
      </c>
      <c r="D105" s="290">
        <f t="shared" si="1"/>
        <v>0</v>
      </c>
      <c r="E105" s="288"/>
      <c r="F105" s="287"/>
      <c r="G105" s="384"/>
    </row>
    <row r="106" spans="1:7" s="381" customFormat="1">
      <c r="A106" s="291" t="s">
        <v>804</v>
      </c>
      <c r="B106" s="293">
        <f>SUM(B98+B105)</f>
        <v>47550835</v>
      </c>
      <c r="C106" s="293">
        <f>SUM(C98+C105)</f>
        <v>47550835</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1105</v>
      </c>
      <c r="B2" s="1296"/>
      <c r="C2" s="1270"/>
      <c r="D2" s="1270"/>
      <c r="E2" s="1270"/>
      <c r="F2" s="1270"/>
      <c r="G2" s="1270"/>
    </row>
    <row r="3" spans="1:9" s="173" customFormat="1">
      <c r="A3" s="1296" t="s">
        <v>1042</v>
      </c>
      <c r="B3" s="1296"/>
      <c r="C3" s="1270"/>
      <c r="D3" s="1270"/>
      <c r="E3" s="1270"/>
      <c r="F3" s="1270"/>
      <c r="G3" s="1270"/>
      <c r="I3" t="s">
        <v>308</v>
      </c>
    </row>
    <row r="4" spans="1:9">
      <c r="I4" s="3" t="s">
        <v>1106</v>
      </c>
    </row>
    <row r="5" spans="1:9">
      <c r="A5" s="1298" t="s">
        <v>1043</v>
      </c>
      <c r="B5" s="1298"/>
      <c r="C5" s="1270"/>
      <c r="D5" s="1270"/>
      <c r="E5" s="1270"/>
      <c r="F5" s="1270"/>
      <c r="G5" s="1270"/>
      <c r="I5" s="3" t="s">
        <v>1107</v>
      </c>
    </row>
    <row r="6" spans="1:9">
      <c r="A6" s="1298" t="s">
        <v>845</v>
      </c>
      <c r="B6" s="1298"/>
      <c r="C6" s="1270"/>
      <c r="D6" s="1270"/>
      <c r="E6" s="1270"/>
      <c r="F6" s="1270"/>
      <c r="G6" s="1270"/>
      <c r="I6" t="s">
        <v>600</v>
      </c>
    </row>
    <row r="7" spans="1:9" ht="11.85" customHeight="1"/>
    <row r="8" spans="1:9">
      <c r="A8" s="1296" t="s">
        <v>1202</v>
      </c>
      <c r="B8" s="1296"/>
      <c r="C8" s="1297"/>
      <c r="D8" s="1297"/>
      <c r="E8" s="1297"/>
      <c r="F8" s="1297"/>
      <c r="G8" s="1297"/>
    </row>
    <row r="9" spans="1:9">
      <c r="A9" s="1296" t="s">
        <v>1203</v>
      </c>
      <c r="B9" s="1296"/>
      <c r="C9" s="1297"/>
      <c r="D9" s="1297"/>
      <c r="E9" s="1297"/>
      <c r="F9" s="1297"/>
      <c r="G9" s="1297"/>
    </row>
    <row r="10" spans="1:9">
      <c r="A10" s="174"/>
      <c r="B10" s="174"/>
      <c r="C10" s="172"/>
      <c r="D10" s="172"/>
      <c r="E10" s="172"/>
      <c r="F10" s="172"/>
    </row>
    <row r="11" spans="1:9">
      <c r="A11" s="1277" t="s">
        <v>1205</v>
      </c>
      <c r="B11" s="1277"/>
      <c r="C11" s="1277"/>
      <c r="D11" s="1277"/>
      <c r="E11" s="1277"/>
      <c r="F11" s="1277"/>
      <c r="G11" s="1277"/>
    </row>
    <row r="12" spans="1:9">
      <c r="A12" s="172"/>
      <c r="B12" s="172"/>
      <c r="E12" s="2"/>
    </row>
    <row r="13" spans="1:9" ht="13.15" customHeight="1">
      <c r="C13" s="172"/>
      <c r="D13" s="1310" t="s">
        <v>1204</v>
      </c>
      <c r="E13" s="1310"/>
      <c r="F13" s="1310"/>
    </row>
    <row r="14" spans="1:9">
      <c r="C14" s="172"/>
      <c r="D14" s="1310"/>
      <c r="E14" s="1310"/>
      <c r="F14" s="1310"/>
    </row>
    <row r="15" spans="1:9">
      <c r="A15" s="175"/>
      <c r="B15" s="175"/>
      <c r="C15" s="175"/>
      <c r="D15" s="1273" t="s">
        <v>1187</v>
      </c>
      <c r="E15" s="1273"/>
      <c r="F15" s="1273"/>
    </row>
    <row r="16" spans="1:9">
      <c r="A16" s="175"/>
      <c r="B16" s="175"/>
      <c r="C16" s="175"/>
      <c r="D16" s="218"/>
    </row>
    <row r="17" spans="1:6" ht="14.25">
      <c r="A17" s="176"/>
      <c r="B17" s="469" t="s">
        <v>308</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308</v>
      </c>
      <c r="D21" s="1305" t="s">
        <v>1189</v>
      </c>
      <c r="E21" s="1305"/>
      <c r="F21" s="1305"/>
    </row>
    <row r="22" spans="1:6" ht="14.25">
      <c r="A22" s="176"/>
      <c r="B22" s="176"/>
      <c r="D22" s="35"/>
    </row>
    <row r="23" spans="1:6" ht="14.25">
      <c r="A23" s="176"/>
      <c r="B23" s="469" t="s">
        <v>308</v>
      </c>
      <c r="D23" s="1262" t="s">
        <v>1190</v>
      </c>
      <c r="E23" s="1262"/>
      <c r="F23" s="1262"/>
    </row>
    <row r="24" spans="1:6" ht="14.25">
      <c r="A24" s="176"/>
      <c r="B24" s="176"/>
      <c r="D24" s="1262"/>
      <c r="E24" s="1262"/>
      <c r="F24" s="1262"/>
    </row>
    <row r="25" spans="1:6"/>
    <row r="26" spans="1:6" ht="14.25">
      <c r="A26" s="176"/>
      <c r="B26" s="469" t="s">
        <v>308</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1192</v>
      </c>
      <c r="E32" s="1262"/>
      <c r="F32" s="1262"/>
    </row>
    <row r="33" spans="1:6">
      <c r="D33" s="1262"/>
      <c r="E33" s="1262"/>
      <c r="F33" s="1262"/>
    </row>
    <row r="34" spans="1:6" ht="14.25">
      <c r="A34" s="176"/>
      <c r="B34" s="176"/>
      <c r="D34" s="220"/>
    </row>
    <row r="35" spans="1:6" ht="14.45" customHeight="1">
      <c r="A35" s="176"/>
      <c r="B35" s="469" t="s">
        <v>308</v>
      </c>
      <c r="D35" s="1262" t="s">
        <v>1193</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308</v>
      </c>
      <c r="D39" s="1262" t="s">
        <v>1194</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308</v>
      </c>
      <c r="D45" s="1262" t="s">
        <v>1195</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308</v>
      </c>
      <c r="D50" s="1262" t="s">
        <v>1196</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308</v>
      </c>
      <c r="C54" s="386"/>
      <c r="D54" s="1262" t="s">
        <v>1197</v>
      </c>
      <c r="E54" s="1262"/>
      <c r="F54" s="1262"/>
      <c r="G54" s="3"/>
    </row>
    <row r="55" spans="1:7" ht="14.25">
      <c r="A55" s="176"/>
      <c r="B55" s="176"/>
      <c r="C55" s="386"/>
      <c r="D55" s="1262"/>
      <c r="E55" s="1262"/>
      <c r="F55" s="1262"/>
      <c r="G55" s="3"/>
    </row>
    <row r="56" spans="1:7">
      <c r="D56" s="220"/>
    </row>
    <row r="57" spans="1:7" ht="14.25">
      <c r="A57" s="176"/>
      <c r="B57" s="469" t="s">
        <v>308</v>
      </c>
      <c r="D57" s="1262" t="s">
        <v>1198</v>
      </c>
      <c r="E57" s="1262"/>
      <c r="F57" s="1262"/>
    </row>
    <row r="58" spans="1:7">
      <c r="D58" s="1262"/>
      <c r="E58" s="1262"/>
      <c r="F58" s="1262"/>
    </row>
    <row r="59" spans="1:7">
      <c r="D59" s="1262"/>
      <c r="E59" s="1262"/>
      <c r="F59" s="1262"/>
    </row>
    <row r="60" spans="1:7">
      <c r="D60" s="3"/>
    </row>
    <row r="61" spans="1:7" ht="14.25">
      <c r="A61" s="176"/>
      <c r="B61" s="469" t="s">
        <v>308</v>
      </c>
      <c r="D61" s="1262" t="s">
        <v>1199</v>
      </c>
      <c r="E61" s="1262"/>
      <c r="F61" s="1262"/>
    </row>
    <row r="62" spans="1:7">
      <c r="D62" s="1262"/>
      <c r="E62" s="1262"/>
      <c r="F62" s="1262"/>
    </row>
    <row r="63" spans="1:7"/>
    <row r="64" spans="1:7" ht="14.25">
      <c r="A64" s="176"/>
      <c r="B64" s="469" t="s">
        <v>308</v>
      </c>
      <c r="D64" s="1262" t="s">
        <v>1200</v>
      </c>
      <c r="E64" s="1262"/>
      <c r="F64" s="1262"/>
    </row>
    <row r="65" spans="1:7">
      <c r="D65" s="1262"/>
      <c r="E65" s="1262"/>
      <c r="F65" s="1262"/>
    </row>
    <row r="66" spans="1:7">
      <c r="D66" s="1262"/>
      <c r="E66" s="1262"/>
      <c r="F66" s="1262"/>
    </row>
    <row r="67" spans="1:7">
      <c r="D67"/>
    </row>
    <row r="68" spans="1:7" ht="14.25">
      <c r="A68" s="176"/>
      <c r="B68" s="469" t="s">
        <v>308</v>
      </c>
      <c r="D68" s="1262" t="s">
        <v>1201</v>
      </c>
      <c r="E68" s="1262"/>
      <c r="F68" s="1262"/>
    </row>
    <row r="69" spans="1:7">
      <c r="D69" s="1262"/>
      <c r="E69" s="1262"/>
      <c r="F69" s="1262"/>
    </row>
    <row r="70" spans="1:7" ht="14.25">
      <c r="A70" s="176"/>
      <c r="B70" s="176"/>
      <c r="D70" s="35"/>
    </row>
    <row r="71" spans="1:7">
      <c r="A71" s="1277" t="s">
        <v>1108</v>
      </c>
      <c r="B71" s="1277"/>
      <c r="C71" s="1277"/>
      <c r="D71" s="1277"/>
      <c r="E71" s="1277"/>
      <c r="F71" s="1277"/>
      <c r="G71" s="1277"/>
    </row>
    <row r="72" spans="1:7"/>
    <row r="73" spans="1:7">
      <c r="C73" s="177"/>
      <c r="D73" s="1295" t="s">
        <v>1206</v>
      </c>
      <c r="E73" s="1295"/>
      <c r="F73" s="1295"/>
    </row>
    <row r="74" spans="1:7">
      <c r="A74" s="35"/>
      <c r="B74" s="35"/>
      <c r="D74" s="1262" t="s">
        <v>1233</v>
      </c>
      <c r="E74" s="1262"/>
      <c r="F74" s="1262"/>
    </row>
    <row r="75" spans="1:7">
      <c r="A75" s="35"/>
      <c r="B75" s="35"/>
    </row>
    <row r="76" spans="1:7" ht="14.25">
      <c r="A76" s="176"/>
      <c r="B76" s="469" t="s">
        <v>308</v>
      </c>
      <c r="D76" s="1262" t="s">
        <v>1207</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308</v>
      </c>
      <c r="D83" s="1271" t="s">
        <v>1306</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308</v>
      </c>
      <c r="D97" s="1262" t="s">
        <v>1208</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308</v>
      </c>
      <c r="C106" s="179"/>
      <c r="D106" s="1299" t="s">
        <v>1209</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308</v>
      </c>
      <c r="C114"/>
      <c r="D114" s="1300" t="s">
        <v>1210</v>
      </c>
      <c r="E114" s="1300"/>
      <c r="F114" s="1300"/>
      <c r="G114"/>
    </row>
    <row r="115" spans="1:7" ht="14.25">
      <c r="A115" s="176"/>
      <c r="B115" s="176"/>
      <c r="C115"/>
      <c r="D115" s="1300"/>
      <c r="E115" s="1300"/>
      <c r="F115" s="1300"/>
      <c r="G115"/>
    </row>
    <row r="116" spans="1:7"/>
    <row r="117" spans="1:7" ht="14.25">
      <c r="A117" s="176"/>
      <c r="B117" s="469" t="s">
        <v>308</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308</v>
      </c>
      <c r="D123" s="1262" t="s">
        <v>1212</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308</v>
      </c>
      <c r="D136" s="1262" t="s">
        <v>1320</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308</v>
      </c>
      <c r="C156" s="218"/>
      <c r="D156" s="1271" t="s">
        <v>1213</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308</v>
      </c>
      <c r="C159" s="218"/>
      <c r="D159" s="1271" t="s">
        <v>1214</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308</v>
      </c>
      <c r="D164" s="1276" t="s">
        <v>1215</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1109</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c r="A172" s="1277" t="s">
        <v>1110</v>
      </c>
      <c r="B172" s="1277"/>
      <c r="C172" s="1277"/>
      <c r="D172" s="1277"/>
      <c r="E172" s="1277"/>
      <c r="F172" s="1277"/>
      <c r="G172" s="1277"/>
    </row>
    <row r="173" spans="1:7" ht="12" customHeight="1">
      <c r="A173" s="2"/>
      <c r="B173" s="2"/>
      <c r="E173" s="2"/>
    </row>
    <row r="174" spans="1:7" ht="13.15" customHeight="1">
      <c r="A174" s="2"/>
      <c r="B174" s="2"/>
      <c r="D174" s="1291" t="s">
        <v>1218</v>
      </c>
      <c r="E174" s="1291"/>
      <c r="F174" s="1291"/>
    </row>
    <row r="175" spans="1:7">
      <c r="A175" s="2"/>
      <c r="B175" s="2"/>
      <c r="D175" s="1291"/>
      <c r="E175" s="1291"/>
      <c r="F175" s="1291"/>
    </row>
    <row r="176" spans="1:7">
      <c r="A176" s="2"/>
      <c r="B176" s="2"/>
      <c r="D176" s="1292" t="s">
        <v>1219</v>
      </c>
      <c r="E176" s="1292"/>
      <c r="F176" s="1292"/>
    </row>
    <row r="177" spans="1:7" ht="12" customHeight="1">
      <c r="A177" s="2"/>
      <c r="B177" s="2"/>
      <c r="E177" s="2"/>
    </row>
    <row r="178" spans="1:7" ht="14.25">
      <c r="A178" s="176"/>
      <c r="B178" s="469" t="s">
        <v>308</v>
      </c>
      <c r="D178" s="1289" t="s">
        <v>1217</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1126</v>
      </c>
      <c r="E183" s="1293"/>
      <c r="F183" s="1293"/>
    </row>
    <row r="184" spans="1:7">
      <c r="D184" s="1293"/>
      <c r="E184" s="1293"/>
      <c r="F184" s="1293"/>
    </row>
    <row r="185" spans="1:7">
      <c r="D185" s="476"/>
      <c r="E185" s="476"/>
      <c r="F185" s="476"/>
    </row>
    <row r="186" spans="1:7" ht="14.25">
      <c r="A186" s="176"/>
      <c r="B186" s="469" t="s">
        <v>308</v>
      </c>
      <c r="C186" s="386"/>
      <c r="D186" s="1262" t="s">
        <v>1216</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1111</v>
      </c>
      <c r="B191" s="1277"/>
      <c r="C191" s="1277"/>
      <c r="D191" s="1277"/>
      <c r="E191" s="1277"/>
      <c r="F191" s="1277"/>
      <c r="G191" s="1277"/>
    </row>
    <row r="192" spans="1:7" ht="12" customHeight="1">
      <c r="D192" s="35"/>
      <c r="E192" s="35"/>
      <c r="F192" s="35"/>
    </row>
    <row r="193" spans="1:6">
      <c r="C193" s="177"/>
      <c r="D193" s="1278" t="s">
        <v>209</v>
      </c>
      <c r="E193" s="1278"/>
      <c r="F193" s="1278"/>
    </row>
    <row r="194" spans="1:6">
      <c r="A194" s="172"/>
      <c r="B194" s="172"/>
      <c r="C194" s="172"/>
      <c r="D194" s="1273" t="s">
        <v>1240</v>
      </c>
      <c r="E194" s="1281"/>
      <c r="F194" s="1281"/>
    </row>
    <row r="195" spans="1:6" ht="12" customHeight="1">
      <c r="A195" s="13"/>
      <c r="B195" s="13"/>
      <c r="C195" s="13"/>
    </row>
    <row r="196" spans="1:6" ht="13.15" customHeight="1">
      <c r="A196" s="13"/>
      <c r="C196" s="13"/>
      <c r="D196" s="1278" t="s">
        <v>555</v>
      </c>
      <c r="E196" s="1278"/>
      <c r="F196" s="1278"/>
    </row>
    <row r="197" spans="1:6" ht="14.25">
      <c r="A197" s="176"/>
      <c r="B197" s="469" t="s">
        <v>308</v>
      </c>
      <c r="D197" s="1262" t="s">
        <v>1234</v>
      </c>
      <c r="E197" s="1262"/>
      <c r="F197" s="1262"/>
    </row>
    <row r="198" spans="1:6" ht="14.25">
      <c r="A198" s="176"/>
      <c r="B198" s="176"/>
      <c r="D198" s="1262"/>
      <c r="E198" s="1262"/>
      <c r="F198" s="1262"/>
    </row>
    <row r="199" spans="1:6"/>
    <row r="200" spans="1:6" ht="14.25">
      <c r="A200" s="176"/>
      <c r="B200" s="469" t="s">
        <v>308</v>
      </c>
      <c r="D200" s="1262" t="s">
        <v>1235</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1236</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308</v>
      </c>
      <c r="D210" s="1262" t="s">
        <v>1237</v>
      </c>
      <c r="E210" s="1262"/>
      <c r="F210" s="1262"/>
    </row>
    <row r="211" spans="1:7" ht="14.25">
      <c r="A211" s="176"/>
      <c r="B211" s="176"/>
      <c r="D211" s="1262"/>
      <c r="E211" s="1262"/>
      <c r="F211" s="1262"/>
    </row>
    <row r="212" spans="1:7" ht="14.25">
      <c r="A212" s="176"/>
      <c r="B212" s="176"/>
      <c r="D212" s="1294" t="s">
        <v>927</v>
      </c>
      <c r="E212" s="1294"/>
      <c r="F212" s="1294"/>
    </row>
    <row r="213" spans="1:7" ht="14.25">
      <c r="A213" s="176"/>
      <c r="B213" s="176"/>
      <c r="D213" s="35"/>
      <c r="E213" s="35"/>
      <c r="F213" s="35"/>
    </row>
    <row r="214" spans="1:7" ht="14.45" customHeight="1">
      <c r="A214" s="176"/>
      <c r="B214" s="469" t="s">
        <v>308</v>
      </c>
      <c r="D214" s="1262" t="s">
        <v>1239</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308</v>
      </c>
      <c r="D220" s="1262" t="s">
        <v>1238</v>
      </c>
      <c r="E220" s="1262"/>
      <c r="F220" s="1262"/>
    </row>
    <row r="221" spans="1:7" ht="14.25">
      <c r="A221" s="176"/>
      <c r="B221" s="176"/>
      <c r="D221" s="1262"/>
      <c r="E221" s="1262"/>
      <c r="F221" s="1262"/>
    </row>
    <row r="222" spans="1:7">
      <c r="D222" s="19"/>
    </row>
    <row r="223" spans="1:7">
      <c r="A223" s="1277" t="s">
        <v>1112</v>
      </c>
      <c r="B223" s="1277"/>
      <c r="C223" s="1277"/>
      <c r="D223" s="1277"/>
      <c r="E223" s="1277"/>
      <c r="F223" s="1277"/>
      <c r="G223" s="1277"/>
    </row>
    <row r="224" spans="1:7">
      <c r="D224" s="19"/>
    </row>
    <row r="225" spans="1:6">
      <c r="C225" s="177"/>
      <c r="D225" s="1278" t="s">
        <v>1241</v>
      </c>
      <c r="E225" s="1278"/>
      <c r="F225" s="1278"/>
    </row>
    <row r="226" spans="1:6">
      <c r="A226" s="172"/>
      <c r="B226" s="172"/>
      <c r="C226" s="172"/>
      <c r="D226" s="35"/>
      <c r="E226" s="35"/>
      <c r="F226" s="35"/>
    </row>
    <row r="227" spans="1:6">
      <c r="A227" s="175"/>
      <c r="B227" s="175"/>
      <c r="C227" s="175"/>
      <c r="D227" s="1278" t="s">
        <v>270</v>
      </c>
      <c r="E227" s="1278"/>
      <c r="F227" s="1278"/>
    </row>
    <row r="228" spans="1:6" ht="14.25">
      <c r="A228" s="176"/>
      <c r="B228" s="469" t="s">
        <v>308</v>
      </c>
      <c r="D228" s="1280" t="s">
        <v>1242</v>
      </c>
      <c r="E228" s="1280"/>
      <c r="F228" s="1280"/>
    </row>
    <row r="229" spans="1:6" ht="14.25">
      <c r="A229" s="176"/>
      <c r="B229" s="176"/>
      <c r="D229" s="1280"/>
      <c r="E229" s="1280"/>
      <c r="F229" s="1280"/>
    </row>
    <row r="230" spans="1:6">
      <c r="D230" s="35"/>
      <c r="E230" s="35"/>
      <c r="F230" s="35"/>
    </row>
    <row r="231" spans="1:6" ht="14.45" customHeight="1">
      <c r="A231" s="176"/>
      <c r="B231" s="469" t="s">
        <v>308</v>
      </c>
      <c r="D231" s="1262" t="s">
        <v>1243</v>
      </c>
      <c r="E231" s="1262"/>
      <c r="F231" s="1262"/>
    </row>
    <row r="232" spans="1:6">
      <c r="D232" s="1262"/>
      <c r="E232" s="1262"/>
      <c r="F232" s="1262"/>
    </row>
    <row r="233" spans="1:6">
      <c r="D233" s="1281" t="s">
        <v>918</v>
      </c>
      <c r="E233" s="1281"/>
      <c r="F233" s="1281"/>
    </row>
    <row r="234" spans="1:6">
      <c r="D234" s="35"/>
      <c r="E234" s="35"/>
      <c r="F234" s="35"/>
    </row>
    <row r="235" spans="1:6" ht="14.45" customHeight="1">
      <c r="A235" s="176"/>
      <c r="B235" s="469" t="s">
        <v>308</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308</v>
      </c>
      <c r="D241" s="1262" t="s">
        <v>1244</v>
      </c>
      <c r="E241" s="1262"/>
      <c r="F241" s="1262"/>
    </row>
    <row r="242" spans="1:7">
      <c r="D242" s="1262"/>
      <c r="E242" s="1262"/>
      <c r="F242" s="1262"/>
    </row>
    <row r="243" spans="1:7">
      <c r="D243" s="1262"/>
      <c r="E243" s="1262"/>
      <c r="F243" s="1262"/>
    </row>
    <row r="244" spans="1:7">
      <c r="D244" s="178"/>
      <c r="E244" s="35"/>
      <c r="F244" s="35"/>
    </row>
    <row r="245" spans="1:7">
      <c r="A245" s="1277" t="s">
        <v>1113</v>
      </c>
      <c r="B245" s="1277"/>
      <c r="C245" s="1277"/>
      <c r="D245" s="1277"/>
      <c r="E245" s="1277"/>
      <c r="F245" s="1277"/>
      <c r="G245" s="1277"/>
    </row>
    <row r="246" spans="1:7">
      <c r="D246" s="178"/>
      <c r="E246" s="35"/>
      <c r="F246" s="35"/>
    </row>
    <row r="247" spans="1:7">
      <c r="C247" s="172"/>
      <c r="D247" s="1295" t="s">
        <v>1246</v>
      </c>
      <c r="E247" s="1295"/>
      <c r="F247" s="1295"/>
    </row>
    <row r="248" spans="1:7">
      <c r="C248" s="172"/>
      <c r="D248" s="1295"/>
      <c r="E248" s="1295"/>
      <c r="F248" s="1295"/>
    </row>
    <row r="249" spans="1:7">
      <c r="A249" s="175"/>
      <c r="B249" s="175"/>
      <c r="C249" s="175"/>
      <c r="D249" s="2"/>
      <c r="E249" s="3"/>
      <c r="F249" s="3"/>
    </row>
    <row r="250" spans="1:7">
      <c r="C250" s="175"/>
      <c r="D250" s="1278" t="s">
        <v>210</v>
      </c>
      <c r="E250" s="1278"/>
      <c r="F250" s="1278"/>
    </row>
    <row r="251" spans="1:7" ht="15.75" customHeight="1">
      <c r="A251" s="176"/>
      <c r="B251" s="176"/>
      <c r="D251" s="1284" t="s">
        <v>1247</v>
      </c>
      <c r="E251" s="1284"/>
      <c r="F251" s="1284"/>
    </row>
    <row r="252" spans="1:7">
      <c r="E252" s="35"/>
      <c r="F252" s="35"/>
    </row>
    <row r="253" spans="1:7" ht="14.25">
      <c r="A253" s="176"/>
      <c r="B253" s="469" t="s">
        <v>308</v>
      </c>
      <c r="D253" s="1262" t="s">
        <v>1248</v>
      </c>
      <c r="E253" s="1262"/>
      <c r="F253" s="1262"/>
    </row>
    <row r="254" spans="1:7" ht="14.25">
      <c r="A254" s="176"/>
      <c r="B254" s="176"/>
      <c r="D254" s="1262"/>
      <c r="E254" s="1262"/>
      <c r="F254" s="1262"/>
    </row>
    <row r="255" spans="1:7">
      <c r="D255" s="35"/>
      <c r="E255" s="35"/>
      <c r="F255" s="35"/>
    </row>
    <row r="256" spans="1:7" ht="14.25">
      <c r="A256" s="176"/>
      <c r="B256" s="469" t="s">
        <v>308</v>
      </c>
      <c r="D256" s="1262" t="s">
        <v>1249</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308</v>
      </c>
      <c r="D260" s="1262" t="s">
        <v>1250</v>
      </c>
      <c r="E260" s="1262"/>
      <c r="F260" s="1262"/>
    </row>
    <row r="261" spans="1:7" ht="14.25">
      <c r="A261" s="176"/>
      <c r="B261" s="176"/>
      <c r="D261" s="1262"/>
      <c r="E261" s="1262"/>
      <c r="F261" s="1262"/>
    </row>
    <row r="262" spans="1:7">
      <c r="A262" s="13"/>
      <c r="B262" s="13"/>
      <c r="E262" s="35"/>
      <c r="F262" s="35"/>
    </row>
    <row r="263" spans="1:7">
      <c r="A263" s="1277" t="s">
        <v>1114</v>
      </c>
      <c r="B263" s="1277"/>
      <c r="C263" s="1277"/>
      <c r="D263" s="1277"/>
      <c r="E263" s="1277"/>
      <c r="F263" s="1277"/>
      <c r="G263" s="1277"/>
    </row>
    <row r="264" spans="1:7">
      <c r="A264" s="13"/>
      <c r="B264" s="13"/>
      <c r="D264" s="35"/>
      <c r="E264" s="35"/>
      <c r="F264" s="35"/>
    </row>
    <row r="265" spans="1:7">
      <c r="C265" s="13"/>
      <c r="D265" s="1278" t="s">
        <v>691</v>
      </c>
      <c r="E265" s="1278"/>
      <c r="F265" s="1278"/>
    </row>
    <row r="266" spans="1:7">
      <c r="C266" s="13"/>
      <c r="D266" s="1273" t="s">
        <v>1251</v>
      </c>
      <c r="E266" s="1273"/>
      <c r="F266" s="1273"/>
    </row>
    <row r="267" spans="1:7">
      <c r="C267" s="13"/>
      <c r="D267" s="173"/>
    </row>
    <row r="268" spans="1:7">
      <c r="B268" s="469" t="s">
        <v>308</v>
      </c>
      <c r="D268" s="1273" t="s">
        <v>1252</v>
      </c>
      <c r="E268" s="1273"/>
      <c r="F268" s="1273"/>
    </row>
    <row r="269" spans="1:7" ht="14.25">
      <c r="A269" s="176"/>
      <c r="B269" s="176"/>
      <c r="D269" s="342"/>
      <c r="E269" s="343"/>
      <c r="F269" s="343"/>
    </row>
    <row r="270" spans="1:7" ht="13.15" customHeight="1">
      <c r="B270" s="469" t="s">
        <v>308</v>
      </c>
      <c r="D270" s="1282" t="s">
        <v>1253</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308</v>
      </c>
      <c r="D276" s="1282" t="s">
        <v>1254</v>
      </c>
      <c r="E276" s="1282"/>
      <c r="F276" s="1282"/>
    </row>
    <row r="277" spans="1:6">
      <c r="D277" s="1282"/>
      <c r="E277" s="1282"/>
      <c r="F277" s="1282"/>
    </row>
    <row r="278" spans="1:6" ht="14.25">
      <c r="A278" s="176"/>
      <c r="B278" s="176"/>
      <c r="D278" s="342"/>
      <c r="E278" s="343"/>
      <c r="F278" s="343"/>
    </row>
    <row r="279" spans="1:6">
      <c r="B279" s="469" t="s">
        <v>308</v>
      </c>
      <c r="D279" s="1273" t="s">
        <v>1255</v>
      </c>
      <c r="E279" s="1273"/>
      <c r="F279" s="1273"/>
    </row>
    <row r="280" spans="1:6">
      <c r="E280" s="35"/>
      <c r="F280" s="35"/>
    </row>
    <row r="281" spans="1:6" ht="14.25">
      <c r="A281" s="176"/>
      <c r="B281" s="469" t="s">
        <v>308</v>
      </c>
      <c r="D281" s="1262" t="s">
        <v>1256</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308</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308</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1019</v>
      </c>
      <c r="E314" s="1285"/>
      <c r="F314" s="1285"/>
      <c r="G314"/>
    </row>
    <row r="315" spans="1:7" ht="13.5" thickTop="1">
      <c r="D315" s="1286" t="s">
        <v>1259</v>
      </c>
      <c r="E315" s="1286"/>
      <c r="F315" s="1286"/>
      <c r="G315"/>
    </row>
    <row r="316" spans="1:7">
      <c r="A316" s="218"/>
      <c r="B316" s="218"/>
      <c r="C316" s="218"/>
      <c r="D316" s="220"/>
      <c r="E316" s="220"/>
      <c r="F316" s="35"/>
      <c r="G316"/>
    </row>
    <row r="317" spans="1:7" ht="14.25">
      <c r="A317" s="176"/>
      <c r="B317" s="469" t="s">
        <v>308</v>
      </c>
      <c r="C317" s="218"/>
      <c r="D317" s="1275" t="s">
        <v>1260</v>
      </c>
      <c r="E317" s="1275"/>
      <c r="F317" s="1275"/>
      <c r="G317"/>
    </row>
    <row r="318" spans="1:7">
      <c r="A318" s="218"/>
      <c r="B318" s="218"/>
      <c r="C318" s="218"/>
      <c r="D318" s="220"/>
      <c r="E318" s="220"/>
      <c r="F318" s="35"/>
      <c r="G318"/>
    </row>
    <row r="319" spans="1:7">
      <c r="A319" s="218"/>
      <c r="B319" s="469" t="s">
        <v>308</v>
      </c>
      <c r="C319" s="218"/>
      <c r="D319" s="1271" t="s">
        <v>1261</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308</v>
      </c>
      <c r="C331" s="218"/>
      <c r="D331" s="1271" t="s">
        <v>1262</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1263</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1264</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1265</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308</v>
      </c>
      <c r="C367" s="218"/>
      <c r="D367" s="1271" t="s">
        <v>1266</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308</v>
      </c>
      <c r="C373" s="179"/>
      <c r="D373" s="1262" t="s">
        <v>1267</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308</v>
      </c>
      <c r="C405" s="179"/>
      <c r="D405" s="1273" t="s">
        <v>1268</v>
      </c>
      <c r="E405" s="1273"/>
      <c r="F405" s="1273"/>
    </row>
    <row r="406" spans="1:7">
      <c r="D406" s="1283" t="s">
        <v>1039</v>
      </c>
      <c r="E406" s="1283"/>
      <c r="F406" s="1283"/>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308</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308</v>
      </c>
      <c r="C416" s="176"/>
      <c r="D416" s="1262" t="s">
        <v>1271</v>
      </c>
      <c r="E416" s="1262"/>
      <c r="F416" s="1262"/>
      <c r="G416"/>
    </row>
    <row r="417" spans="1:7">
      <c r="D417" s="1262"/>
      <c r="E417" s="1262"/>
      <c r="F417" s="1262"/>
      <c r="G417"/>
    </row>
    <row r="418" spans="1:7">
      <c r="D418" s="35"/>
      <c r="E418" s="35"/>
      <c r="F418" s="35"/>
      <c r="G418"/>
    </row>
    <row r="419" spans="1:7" ht="14.25">
      <c r="B419" s="469" t="s">
        <v>308</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1274</v>
      </c>
      <c r="E440" s="1273"/>
      <c r="F440" s="1273"/>
    </row>
    <row r="441" spans="1:7">
      <c r="A441" s="35"/>
      <c r="B441" s="35"/>
    </row>
    <row r="442" spans="1:7">
      <c r="A442" s="1277" t="s">
        <v>1115</v>
      </c>
      <c r="B442" s="1277"/>
      <c r="C442" s="1277"/>
      <c r="D442" s="1277"/>
      <c r="E442" s="1277"/>
      <c r="F442" s="1277"/>
      <c r="G442" s="1277"/>
    </row>
    <row r="443" spans="1:7">
      <c r="A443" s="35"/>
      <c r="B443" s="35"/>
    </row>
    <row r="444" spans="1:7">
      <c r="D444" s="1274" t="s">
        <v>912</v>
      </c>
      <c r="E444" s="1274"/>
      <c r="F444" s="1274"/>
    </row>
    <row r="445" spans="1:7" ht="14.25">
      <c r="A445" s="176"/>
      <c r="B445" s="176"/>
      <c r="D445" s="1275" t="s">
        <v>1275</v>
      </c>
      <c r="E445" s="1275"/>
      <c r="F445" s="1275"/>
    </row>
    <row r="446" spans="1:7" ht="14.25">
      <c r="A446" s="176"/>
      <c r="B446" s="176"/>
      <c r="D446" s="482"/>
      <c r="E446" s="3"/>
      <c r="F446" s="3"/>
    </row>
    <row r="447" spans="1:7" ht="14.25">
      <c r="A447" s="176"/>
      <c r="B447" s="469" t="s">
        <v>308</v>
      </c>
      <c r="D447" s="1271" t="s">
        <v>1276</v>
      </c>
      <c r="E447" s="1271"/>
      <c r="F447" s="1271"/>
    </row>
    <row r="448" spans="1:7" ht="14.25">
      <c r="A448" s="176"/>
      <c r="B448" s="176"/>
      <c r="D448" s="1271"/>
      <c r="E448" s="1271"/>
      <c r="F448" s="1271"/>
    </row>
    <row r="449" spans="1:7" ht="14.25">
      <c r="A449" s="176"/>
      <c r="B449" s="176"/>
      <c r="D449" s="118"/>
      <c r="E449" s="3"/>
      <c r="F449" s="3"/>
    </row>
    <row r="450" spans="1:7">
      <c r="B450" s="469" t="s">
        <v>308</v>
      </c>
      <c r="D450" s="1276" t="s">
        <v>1277</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308</v>
      </c>
      <c r="D455" s="1262" t="s">
        <v>1278</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308</v>
      </c>
      <c r="D459" s="1273" t="s">
        <v>1279</v>
      </c>
      <c r="E459" s="1273"/>
      <c r="F459" s="1273"/>
      <c r="G459"/>
    </row>
    <row r="460" spans="1:7" ht="14.25">
      <c r="A460" s="176"/>
      <c r="B460" s="176"/>
      <c r="D460" s="118"/>
      <c r="E460" s="3"/>
      <c r="F460" s="3"/>
      <c r="G460"/>
    </row>
    <row r="461" spans="1:7" ht="14.25">
      <c r="A461" s="176"/>
      <c r="B461" s="469" t="s">
        <v>308</v>
      </c>
      <c r="D461" s="1262" t="s">
        <v>1280</v>
      </c>
      <c r="E461" s="1262"/>
      <c r="F461" s="1262"/>
      <c r="G461"/>
    </row>
    <row r="462" spans="1:7" ht="14.25">
      <c r="A462" s="176"/>
      <c r="D462" s="1262"/>
      <c r="E462" s="1262"/>
      <c r="F462" s="1262"/>
      <c r="G462"/>
    </row>
    <row r="463" spans="1:7">
      <c r="A463" s="13"/>
      <c r="B463" s="13"/>
      <c r="D463" s="482"/>
      <c r="E463" s="3"/>
      <c r="F463" s="3"/>
      <c r="G463"/>
    </row>
    <row r="464" spans="1:7">
      <c r="A464" s="13"/>
      <c r="B464" s="469" t="s">
        <v>308</v>
      </c>
      <c r="D464" s="1273" t="s">
        <v>1281</v>
      </c>
      <c r="E464" s="1273"/>
      <c r="F464" s="1273"/>
      <c r="G464"/>
    </row>
    <row r="465" spans="1:7" ht="14.25">
      <c r="A465" s="176"/>
      <c r="B465" s="176"/>
      <c r="D465" s="35"/>
    </row>
    <row r="466" spans="1:7">
      <c r="A466" s="1277" t="s">
        <v>1116</v>
      </c>
      <c r="B466" s="1277"/>
      <c r="C466" s="1277"/>
      <c r="D466" s="1277"/>
      <c r="E466" s="1277"/>
      <c r="F466" s="1277"/>
      <c r="G466" s="1277"/>
    </row>
    <row r="467" spans="1:7" ht="12" customHeight="1">
      <c r="A467" s="176"/>
      <c r="B467" s="176"/>
      <c r="D467" s="35"/>
    </row>
    <row r="468" spans="1:7">
      <c r="C468" s="172"/>
      <c r="D468" s="1278" t="s">
        <v>817</v>
      </c>
      <c r="E468" s="1278"/>
      <c r="F468" s="1278"/>
    </row>
    <row r="469" spans="1:7" ht="13.15" customHeight="1">
      <c r="A469" s="175"/>
      <c r="B469" s="175"/>
      <c r="C469" s="175"/>
      <c r="D469" s="1279" t="s">
        <v>1159</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308</v>
      </c>
      <c r="C475" s="175"/>
      <c r="D475" s="1293" t="s">
        <v>1150</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308</v>
      </c>
      <c r="C481" s="175"/>
      <c r="D481" s="1293" t="s">
        <v>1153</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308</v>
      </c>
      <c r="C486" s="175"/>
      <c r="D486" s="1293" t="s">
        <v>1151</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308</v>
      </c>
      <c r="C490" s="175"/>
      <c r="D490" s="1293" t="s">
        <v>1152</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308</v>
      </c>
      <c r="C500" s="175"/>
      <c r="D500" s="1271" t="s">
        <v>1296</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308</v>
      </c>
      <c r="D506" s="1293" t="s">
        <v>1154</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1117</v>
      </c>
      <c r="B510" s="1277"/>
      <c r="C510" s="1277"/>
      <c r="D510" s="1277"/>
      <c r="E510" s="1277"/>
      <c r="F510" s="1277"/>
      <c r="G510" s="1277"/>
    </row>
    <row r="511" spans="1:7">
      <c r="A511" s="35"/>
      <c r="B511" s="35"/>
      <c r="C511" s="179"/>
      <c r="F511" s="57"/>
    </row>
    <row r="512" spans="1:7">
      <c r="B512" s="1294" t="s">
        <v>449</v>
      </c>
      <c r="C512" s="1294"/>
      <c r="D512" s="1294"/>
      <c r="E512" s="1294"/>
      <c r="F512" s="1294"/>
    </row>
    <row r="513" spans="1:7">
      <c r="A513" s="35"/>
      <c r="B513" s="35"/>
      <c r="C513" s="179"/>
      <c r="D513" s="35"/>
      <c r="F513" s="35"/>
    </row>
    <row r="514" spans="1:7">
      <c r="A514" s="1308" t="s">
        <v>1118</v>
      </c>
      <c r="B514" s="1308"/>
      <c r="C514" s="1308"/>
      <c r="D514" s="1308"/>
      <c r="E514" s="1308"/>
      <c r="F514" s="1308"/>
      <c r="G514" s="1308"/>
    </row>
    <row r="515" spans="1:7">
      <c r="A515" s="35"/>
      <c r="B515" s="35"/>
      <c r="C515" s="179"/>
      <c r="D515" s="35"/>
      <c r="F515" s="35"/>
    </row>
    <row r="516" spans="1:7">
      <c r="C516" s="179"/>
      <c r="D516" s="1278" t="s">
        <v>692</v>
      </c>
      <c r="E516" s="1278"/>
      <c r="F516" s="1278"/>
    </row>
    <row r="517" spans="1:7">
      <c r="C517" s="179"/>
      <c r="D517" s="1273" t="s">
        <v>1175</v>
      </c>
      <c r="E517" s="1273"/>
      <c r="F517" s="1273"/>
    </row>
    <row r="518" spans="1:7">
      <c r="C518" s="179"/>
      <c r="D518" s="118"/>
      <c r="E518" s="118"/>
      <c r="F518" s="118"/>
    </row>
    <row r="519" spans="1:7" ht="13.15" customHeight="1">
      <c r="A519" s="176"/>
      <c r="B519" s="469" t="s">
        <v>308</v>
      </c>
      <c r="C519" s="179"/>
      <c r="D519" s="1273" t="s">
        <v>913</v>
      </c>
      <c r="E519" s="1273"/>
      <c r="F519" s="1273"/>
      <c r="G519"/>
    </row>
    <row r="520" spans="1:7" ht="13.15" customHeight="1">
      <c r="A520" s="179"/>
      <c r="B520" s="179"/>
      <c r="C520" s="179"/>
      <c r="D520" s="118"/>
      <c r="E520"/>
      <c r="F520"/>
      <c r="G520"/>
    </row>
    <row r="521" spans="1:7" ht="14.25">
      <c r="A521" s="176"/>
      <c r="B521" s="469" t="s">
        <v>308</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308</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308</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308</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308</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308</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308</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308</v>
      </c>
      <c r="C543" s="179"/>
      <c r="D543" s="1273" t="s">
        <v>1182</v>
      </c>
      <c r="E543" s="1273"/>
      <c r="F543" s="1273"/>
    </row>
    <row r="544" spans="1:7">
      <c r="A544" s="13"/>
      <c r="B544" s="13"/>
      <c r="C544" s="179"/>
      <c r="D544" s="1273" t="s">
        <v>846</v>
      </c>
      <c r="E544" s="1273"/>
      <c r="F544" s="1273"/>
    </row>
    <row r="545" spans="1:7">
      <c r="A545" s="13"/>
      <c r="B545" s="13"/>
      <c r="C545" s="179"/>
      <c r="D545" s="3"/>
      <c r="E545" s="1284" t="s">
        <v>1183</v>
      </c>
      <c r="F545" s="1284"/>
    </row>
    <row r="546" spans="1:7" ht="14.25">
      <c r="A546" s="176"/>
      <c r="B546" s="176"/>
      <c r="C546" s="179"/>
      <c r="E546" s="35"/>
      <c r="F546" s="35"/>
    </row>
    <row r="547" spans="1:7" ht="14.25">
      <c r="A547" s="176"/>
      <c r="B547" s="469" t="s">
        <v>308</v>
      </c>
      <c r="C547" s="179"/>
      <c r="D547" s="1273" t="s">
        <v>1184</v>
      </c>
      <c r="E547" s="1273"/>
      <c r="F547" s="1273"/>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308</v>
      </c>
      <c r="C552" s="179"/>
      <c r="D552" s="1262" t="s">
        <v>1186</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1119</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c r="A560" s="175"/>
      <c r="B560" s="175"/>
      <c r="C560" s="175"/>
      <c r="D560" s="1276" t="s">
        <v>1135</v>
      </c>
      <c r="E560" s="1276"/>
      <c r="F560" s="1276"/>
    </row>
    <row r="561" spans="1:6">
      <c r="A561"/>
      <c r="B561"/>
      <c r="C561" s="175"/>
      <c r="D561" s="255"/>
    </row>
    <row r="562" spans="1:6">
      <c r="A562" s="175"/>
      <c r="B562" s="469" t="s">
        <v>308</v>
      </c>
      <c r="D562" s="1276" t="s">
        <v>919</v>
      </c>
      <c r="E562" s="1276"/>
      <c r="F562" s="1276"/>
    </row>
    <row r="563" spans="1:6">
      <c r="A563" s="13"/>
      <c r="B563" s="13"/>
      <c r="D563" s="218"/>
    </row>
    <row r="564" spans="1:6">
      <c r="A564" s="13"/>
      <c r="B564" s="469" t="s">
        <v>308</v>
      </c>
      <c r="D564" s="1276" t="s">
        <v>1136</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308</v>
      </c>
      <c r="D568" s="1276" t="s">
        <v>1137</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308</v>
      </c>
      <c r="D573" s="1276" t="s">
        <v>1138</v>
      </c>
      <c r="E573" s="1276"/>
      <c r="F573" s="1276"/>
    </row>
    <row r="574" spans="1:6">
      <c r="A574" s="13"/>
      <c r="B574" s="13"/>
      <c r="D574" s="1276"/>
      <c r="E574" s="1276"/>
      <c r="F574" s="1276"/>
    </row>
    <row r="575" spans="1:6">
      <c r="A575" s="13"/>
      <c r="B575" s="13"/>
      <c r="D575" s="255"/>
    </row>
    <row r="576" spans="1:6">
      <c r="A576" s="13"/>
      <c r="B576" s="469" t="s">
        <v>308</v>
      </c>
      <c r="D576" s="1276" t="s">
        <v>1139</v>
      </c>
      <c r="E576" s="1276"/>
      <c r="F576" s="1276"/>
    </row>
    <row r="577" spans="1:7">
      <c r="A577" s="13"/>
      <c r="B577" s="13"/>
      <c r="D577" s="1276"/>
      <c r="E577" s="1276"/>
      <c r="F577" s="1276"/>
    </row>
    <row r="578" spans="1:7">
      <c r="A578" s="13"/>
      <c r="B578" s="13"/>
      <c r="D578" s="255"/>
    </row>
    <row r="579" spans="1:7" ht="14.25">
      <c r="A579" s="176"/>
      <c r="B579" s="469" t="s">
        <v>308</v>
      </c>
      <c r="D579" s="1276" t="s">
        <v>914</v>
      </c>
      <c r="E579" s="1276"/>
      <c r="F579" s="1276"/>
    </row>
    <row r="580" spans="1:7" ht="14.25">
      <c r="A580" s="176"/>
      <c r="B580" s="176"/>
      <c r="D580" s="255"/>
    </row>
    <row r="581" spans="1:7" ht="14.25">
      <c r="A581" s="176"/>
      <c r="B581" s="469" t="s">
        <v>308</v>
      </c>
      <c r="D581" s="1276" t="s">
        <v>1140</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1120</v>
      </c>
      <c r="B588" s="1277"/>
      <c r="C588" s="1277"/>
      <c r="D588" s="1277"/>
      <c r="E588" s="1277"/>
      <c r="F588" s="1277"/>
      <c r="G588" s="1277"/>
    </row>
    <row r="589" spans="1:7"/>
    <row r="590" spans="1:7">
      <c r="D590" s="1288" t="s">
        <v>1220</v>
      </c>
      <c r="E590" s="1288"/>
      <c r="F590" s="1288"/>
    </row>
    <row r="591" spans="1:7">
      <c r="D591" s="1311" t="s">
        <v>1221</v>
      </c>
      <c r="E591" s="1311"/>
      <c r="F591" s="1311"/>
    </row>
    <row r="592" spans="1:7">
      <c r="D592" s="479"/>
      <c r="E592" s="434"/>
      <c r="F592" s="434"/>
    </row>
    <row r="593" spans="1:7" ht="14.25">
      <c r="A593" s="176"/>
      <c r="B593" s="469" t="s">
        <v>308</v>
      </c>
      <c r="D593" s="1289" t="s">
        <v>1222</v>
      </c>
      <c r="E593" s="1289"/>
      <c r="F593" s="1289"/>
    </row>
    <row r="594" spans="1:7">
      <c r="D594" s="1289"/>
      <c r="E594" s="1289"/>
      <c r="F594" s="1289"/>
    </row>
    <row r="595" spans="1:7">
      <c r="D595" s="1289"/>
      <c r="E595" s="1289"/>
      <c r="F595" s="1289"/>
    </row>
    <row r="596" spans="1:7"/>
    <row r="597" spans="1:7">
      <c r="A597" s="1277" t="s">
        <v>1121</v>
      </c>
      <c r="B597" s="1277"/>
      <c r="C597" s="1277"/>
      <c r="D597" s="1277"/>
      <c r="E597" s="1277"/>
      <c r="F597" s="1277"/>
      <c r="G597" s="1277"/>
    </row>
    <row r="598" spans="1:7">
      <c r="A598" s="35"/>
      <c r="B598" s="35"/>
    </row>
    <row r="599" spans="1:7">
      <c r="A599" s="172"/>
      <c r="B599" s="172"/>
      <c r="C599" s="172"/>
      <c r="D599" s="1312" t="s">
        <v>1223</v>
      </c>
      <c r="E599" s="1312"/>
      <c r="F599" s="1312"/>
    </row>
    <row r="600" spans="1:7">
      <c r="A600" s="172"/>
      <c r="B600" s="172"/>
      <c r="C600" s="172"/>
      <c r="D600" s="1312"/>
      <c r="E600" s="1312"/>
      <c r="F600" s="1312"/>
    </row>
    <row r="601" spans="1:7">
      <c r="C601" s="175"/>
      <c r="D601" s="1311" t="s">
        <v>1224</v>
      </c>
      <c r="E601" s="1311"/>
      <c r="F601" s="1311"/>
    </row>
    <row r="602" spans="1:7">
      <c r="C602" s="175"/>
      <c r="D602" s="479"/>
      <c r="E602" s="479"/>
      <c r="F602" s="479"/>
    </row>
    <row r="603" spans="1:7">
      <c r="A603" s="13"/>
      <c r="B603" s="469" t="s">
        <v>308</v>
      </c>
      <c r="D603" s="1311" t="s">
        <v>433</v>
      </c>
      <c r="E603" s="1311"/>
      <c r="F603" s="1311"/>
    </row>
    <row r="604" spans="1:7">
      <c r="C604" s="180"/>
      <c r="E604"/>
    </row>
    <row r="605" spans="1:7">
      <c r="A605" s="13"/>
      <c r="B605" s="469" t="s">
        <v>308</v>
      </c>
      <c r="D605" s="1287" t="s">
        <v>1225</v>
      </c>
      <c r="E605" s="1287"/>
      <c r="F605" s="1287"/>
    </row>
    <row r="606" spans="1:7">
      <c r="D606" s="1287"/>
      <c r="E606" s="1287"/>
      <c r="F606" s="1287"/>
    </row>
    <row r="607" spans="1:7">
      <c r="D607"/>
    </row>
    <row r="608" spans="1:7">
      <c r="B608" s="469" t="s">
        <v>308</v>
      </c>
      <c r="D608" s="1287" t="s">
        <v>1226</v>
      </c>
      <c r="E608" s="1287"/>
      <c r="F608" s="1287"/>
    </row>
    <row r="609" spans="1:7">
      <c r="C609" s="180"/>
      <c r="D609" s="1287"/>
      <c r="E609" s="1287"/>
      <c r="F609" s="1287"/>
    </row>
    <row r="610" spans="1:7">
      <c r="C610" s="180"/>
    </row>
    <row r="611" spans="1:7">
      <c r="B611" s="469" t="s">
        <v>308</v>
      </c>
      <c r="C611" s="180"/>
      <c r="D611" s="1287" t="s">
        <v>1227</v>
      </c>
      <c r="E611" s="1287"/>
      <c r="F611" s="1287"/>
    </row>
    <row r="612" spans="1:7">
      <c r="C612" s="180"/>
      <c r="D612" s="1287"/>
      <c r="E612" s="1287"/>
      <c r="F612" s="1287"/>
    </row>
    <row r="613" spans="1:7">
      <c r="C613" s="180"/>
    </row>
    <row r="614" spans="1:7">
      <c r="A614" s="1277" t="s">
        <v>1122</v>
      </c>
      <c r="B614" s="1277"/>
      <c r="C614" s="1277"/>
      <c r="D614" s="1277"/>
      <c r="E614" s="1277"/>
      <c r="F614" s="1277"/>
      <c r="G614" s="1277"/>
    </row>
    <row r="615" spans="1:7">
      <c r="A615" s="172"/>
      <c r="B615" s="172"/>
      <c r="C615" s="172"/>
    </row>
    <row r="616" spans="1:7">
      <c r="C616" s="13"/>
      <c r="D616" s="1288" t="s">
        <v>1228</v>
      </c>
      <c r="E616" s="1288"/>
      <c r="F616" s="1288"/>
    </row>
    <row r="617" spans="1:7">
      <c r="A617" s="13"/>
      <c r="B617" s="13"/>
      <c r="D617" s="2"/>
    </row>
    <row r="618" spans="1:7" ht="14.25">
      <c r="A618" s="176"/>
      <c r="B618" s="469" t="s">
        <v>308</v>
      </c>
      <c r="D618" s="1289" t="s">
        <v>1229</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308</v>
      </c>
      <c r="D625" s="1289" t="s">
        <v>1230</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308</v>
      </c>
      <c r="C628" s="179"/>
      <c r="D628" s="1289" t="s">
        <v>1231</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1232</v>
      </c>
      <c r="E633" s="1290"/>
      <c r="F633" s="1290"/>
    </row>
    <row r="634" spans="1:7">
      <c r="A634" s="179"/>
      <c r="B634" s="179"/>
      <c r="C634" s="179"/>
      <c r="D634" s="481"/>
      <c r="E634" s="481"/>
      <c r="F634" s="481"/>
    </row>
    <row r="635" spans="1:7">
      <c r="A635" s="1277" t="s">
        <v>1123</v>
      </c>
      <c r="B635" s="1277"/>
      <c r="C635" s="1277"/>
      <c r="D635" s="1277"/>
      <c r="E635" s="1277"/>
      <c r="F635" s="1277"/>
      <c r="G635" s="1277"/>
    </row>
    <row r="636" spans="1:7">
      <c r="A636" s="35"/>
      <c r="B636" s="35"/>
      <c r="C636" s="179"/>
      <c r="D636" s="35"/>
      <c r="E636" s="35"/>
      <c r="F636" s="35"/>
    </row>
    <row r="637" spans="1:7">
      <c r="C637" s="172"/>
      <c r="D637" s="1278" t="s">
        <v>1282</v>
      </c>
      <c r="E637" s="1278"/>
      <c r="F637" s="1278"/>
    </row>
    <row r="638" spans="1:7">
      <c r="A638" s="175"/>
      <c r="B638" s="175"/>
      <c r="C638" s="175"/>
      <c r="D638" s="1273" t="s">
        <v>1283</v>
      </c>
      <c r="E638" s="1273"/>
      <c r="F638" s="1273"/>
    </row>
    <row r="639" spans="1:7">
      <c r="A639" s="175"/>
      <c r="B639" s="175"/>
      <c r="C639" s="175"/>
      <c r="D639" s="118"/>
      <c r="E639" s="118"/>
      <c r="F639" s="118"/>
    </row>
    <row r="640" spans="1:7" ht="14.45" customHeight="1">
      <c r="A640" s="176"/>
      <c r="B640" s="469" t="s">
        <v>308</v>
      </c>
      <c r="C640" s="179"/>
      <c r="D640" s="1262" t="s">
        <v>1284</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308</v>
      </c>
      <c r="C646" s="179"/>
      <c r="D646" s="1301" t="s">
        <v>1134</v>
      </c>
      <c r="E646" s="1301"/>
      <c r="F646" s="1301"/>
    </row>
    <row r="647" spans="1:11" ht="14.25">
      <c r="A647" s="176"/>
      <c r="B647" s="176"/>
      <c r="C647" s="179"/>
      <c r="D647" s="1302" t="s">
        <v>1285</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1286</v>
      </c>
      <c r="E652" s="1303"/>
      <c r="F652" s="1303"/>
    </row>
    <row r="653" spans="1:11">
      <c r="A653" s="179"/>
      <c r="B653" s="179"/>
      <c r="C653" s="179"/>
      <c r="D653" s="35"/>
      <c r="E653" s="35"/>
      <c r="F653" s="35"/>
    </row>
    <row r="654" spans="1:11">
      <c r="A654" s="1277" t="s">
        <v>1124</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1160</v>
      </c>
      <c r="E658" s="1273"/>
      <c r="F658" s="1273"/>
      <c r="H658" s="181"/>
      <c r="I658" s="181"/>
      <c r="J658" s="181"/>
      <c r="K658" s="181"/>
    </row>
    <row r="659" spans="1:11">
      <c r="A659" s="175"/>
      <c r="B659" s="175"/>
      <c r="C659" s="175"/>
      <c r="H659" s="181"/>
      <c r="I659" s="181"/>
      <c r="J659" s="181"/>
      <c r="K659" s="181"/>
    </row>
    <row r="660" spans="1:11" ht="14.25">
      <c r="A660" s="176"/>
      <c r="B660" s="469" t="s">
        <v>308</v>
      </c>
      <c r="C660" s="175"/>
      <c r="D660" s="1273" t="s">
        <v>915</v>
      </c>
      <c r="E660" s="1273"/>
      <c r="F660" s="1273"/>
      <c r="H660" s="181"/>
      <c r="I660" s="181"/>
      <c r="J660" s="181"/>
      <c r="K660" s="181"/>
    </row>
    <row r="661" spans="1:11">
      <c r="A661" s="175"/>
      <c r="B661" s="175"/>
      <c r="C661" s="175"/>
      <c r="D661" s="1273" t="s">
        <v>926</v>
      </c>
      <c r="E661" s="1273"/>
      <c r="F661" s="1273"/>
      <c r="H661" s="181"/>
      <c r="I661" s="181"/>
      <c r="J661" s="181"/>
      <c r="K661" s="181"/>
    </row>
    <row r="662" spans="1:11">
      <c r="A662" s="175"/>
      <c r="B662" s="175"/>
      <c r="C662" s="175"/>
      <c r="D662" s="3"/>
      <c r="E662" s="1272" t="s">
        <v>1161</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308</v>
      </c>
      <c r="C669" s="175"/>
      <c r="D669" s="1273" t="s">
        <v>954</v>
      </c>
      <c r="E669" s="1273"/>
      <c r="F669" s="1273"/>
      <c r="H669" s="181"/>
      <c r="I669" s="181"/>
      <c r="J669" s="181"/>
      <c r="K669" s="181"/>
    </row>
    <row r="670" spans="1:11" ht="14.25">
      <c r="A670" s="176"/>
      <c r="B670" s="176"/>
      <c r="C670" s="175"/>
      <c r="D670" s="1273" t="s">
        <v>926</v>
      </c>
      <c r="E670" s="1273"/>
      <c r="F670" s="1273"/>
      <c r="H670" s="181"/>
      <c r="I670" s="181"/>
      <c r="J670" s="181"/>
      <c r="K670" s="181"/>
    </row>
    <row r="671" spans="1:11">
      <c r="A671" s="175"/>
      <c r="B671" s="175"/>
      <c r="C671" s="175"/>
      <c r="D671" s="3"/>
      <c r="E671" s="1284" t="s">
        <v>1163</v>
      </c>
      <c r="F671" s="1284"/>
      <c r="H671" s="181"/>
      <c r="I671" s="181"/>
      <c r="J671" s="181"/>
      <c r="K671" s="181"/>
    </row>
    <row r="672" spans="1:11">
      <c r="A672" s="175"/>
      <c r="B672" s="175"/>
      <c r="C672" s="175"/>
      <c r="D672" s="2"/>
      <c r="H672" s="181"/>
      <c r="I672" s="181"/>
      <c r="J672" s="181"/>
      <c r="K672" s="181"/>
    </row>
    <row r="673" spans="1:11" ht="14.25">
      <c r="A673" s="176"/>
      <c r="B673" s="469" t="s">
        <v>308</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308</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308</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308</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1168</v>
      </c>
      <c r="E724" s="1306"/>
      <c r="F724" s="1306"/>
      <c r="H724" s="181"/>
      <c r="I724" s="181"/>
      <c r="J724" s="181"/>
      <c r="K724" s="181"/>
    </row>
    <row r="725" spans="1:11">
      <c r="A725" s="175"/>
      <c r="B725" s="175"/>
      <c r="C725" s="175"/>
      <c r="D725" s="370"/>
      <c r="H725" s="181"/>
      <c r="I725" s="181"/>
      <c r="J725" s="181"/>
      <c r="K725" s="181"/>
    </row>
    <row r="726" spans="1:11">
      <c r="A726" s="1308" t="s">
        <v>1125</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1141</v>
      </c>
      <c r="E728" s="1295"/>
      <c r="F728" s="1295"/>
      <c r="G728" s="183"/>
      <c r="H728" s="181"/>
      <c r="I728" s="181"/>
      <c r="J728" s="181"/>
      <c r="K728" s="181"/>
    </row>
    <row r="729" spans="1:11">
      <c r="A729" s="175"/>
      <c r="B729" s="175"/>
      <c r="C729" s="175"/>
      <c r="D729" s="1305" t="s">
        <v>1142</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308</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308</v>
      </c>
      <c r="C743" s="273"/>
      <c r="D743" s="1302" t="s">
        <v>1145</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308</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1148</v>
      </c>
      <c r="B754" s="1277"/>
      <c r="C754" s="1277"/>
      <c r="D754" s="1277"/>
      <c r="E754" s="1277"/>
      <c r="F754" s="1277"/>
      <c r="G754" s="1277"/>
    </row>
    <row r="755" spans="1:11">
      <c r="A755" s="175"/>
      <c r="B755" s="175"/>
      <c r="C755" s="175"/>
      <c r="D755" s="184"/>
      <c r="F755" s="35"/>
      <c r="G755" s="183"/>
    </row>
    <row r="756" spans="1:11">
      <c r="D756" s="1309" t="s">
        <v>1132</v>
      </c>
      <c r="E756" s="1309"/>
      <c r="F756" s="1309"/>
      <c r="G756" s="183"/>
    </row>
    <row r="757" spans="1:11">
      <c r="A757" s="346"/>
      <c r="B757" s="346"/>
      <c r="C757" s="346"/>
      <c r="D757" s="1292" t="s">
        <v>1149</v>
      </c>
      <c r="E757" s="1292"/>
      <c r="F757" s="1292"/>
      <c r="G757" s="183"/>
    </row>
    <row r="758" spans="1:11">
      <c r="D758" s="434"/>
      <c r="E758" s="434"/>
      <c r="F758" s="434"/>
      <c r="G758" s="183"/>
    </row>
    <row r="759" spans="1:11" ht="14.25">
      <c r="A759" s="176"/>
      <c r="B759" s="469" t="s">
        <v>308</v>
      </c>
      <c r="D759" s="1292" t="s">
        <v>1026</v>
      </c>
      <c r="E759" s="1292"/>
      <c r="F759" s="1292"/>
      <c r="G759" s="183"/>
    </row>
    <row r="760" spans="1:11">
      <c r="D760" s="434"/>
      <c r="E760" s="1304" t="s">
        <v>1133</v>
      </c>
      <c r="F760" s="1304"/>
      <c r="G760" s="183"/>
    </row>
    <row r="761" spans="1:11">
      <c r="A761" s="172"/>
      <c r="B761" s="172"/>
      <c r="C761" s="172"/>
      <c r="D761" s="35"/>
      <c r="G761" s="183"/>
    </row>
    <row r="762" spans="1:11">
      <c r="A762" s="1307" t="s">
        <v>450</v>
      </c>
      <c r="B762" s="1307"/>
      <c r="C762" s="1307"/>
      <c r="D762" s="1307"/>
      <c r="E762" s="1307"/>
      <c r="F762" s="1307"/>
      <c r="G762" s="1307"/>
    </row>
    <row r="763" spans="1:11">
      <c r="A763" s="172"/>
      <c r="B763" s="172"/>
      <c r="C763" s="179"/>
      <c r="D763" s="183"/>
      <c r="E763" s="183"/>
      <c r="F763" s="183"/>
      <c r="G763" s="183"/>
    </row>
    <row r="764" spans="1:11">
      <c r="A764" s="35"/>
      <c r="B764" s="1305" t="s">
        <v>1025</v>
      </c>
      <c r="C764" s="1305"/>
      <c r="D764" s="1305"/>
      <c r="E764" s="1305"/>
      <c r="F764" s="1305"/>
      <c r="G764" s="183"/>
    </row>
    <row r="765" spans="1:11">
      <c r="A765" s="13"/>
      <c r="B765" s="13"/>
      <c r="G765" s="183"/>
    </row>
    <row r="766" spans="1:11">
      <c r="A766" s="1307" t="s">
        <v>451</v>
      </c>
      <c r="B766" s="1307"/>
      <c r="C766" s="1307"/>
      <c r="D766" s="1307"/>
      <c r="E766" s="1307"/>
      <c r="F766" s="1307"/>
      <c r="G766" s="1307"/>
    </row>
    <row r="767" spans="1:11">
      <c r="A767" s="172"/>
      <c r="B767" s="172"/>
      <c r="C767" s="172"/>
      <c r="D767" s="178"/>
      <c r="G767" s="183"/>
    </row>
    <row r="768" spans="1:11">
      <c r="A768" s="35"/>
      <c r="B768" s="1273" t="s">
        <v>449</v>
      </c>
      <c r="C768" s="1273"/>
      <c r="D768" s="1273"/>
      <c r="E768" s="1273"/>
      <c r="F768" s="1273"/>
      <c r="G768" s="183"/>
    </row>
    <row r="769" spans="1:7" ht="14.25">
      <c r="A769" s="176"/>
      <c r="B769" s="176"/>
      <c r="D769" s="35"/>
      <c r="E769" s="35"/>
      <c r="F769" s="183"/>
      <c r="G769" s="183"/>
    </row>
    <row r="770" spans="1:7">
      <c r="A770" s="1307" t="s">
        <v>452</v>
      </c>
      <c r="B770" s="1307"/>
      <c r="C770" s="1307"/>
      <c r="D770" s="1307"/>
      <c r="E770" s="1307"/>
      <c r="F770" s="1307"/>
      <c r="G770" s="1307"/>
    </row>
    <row r="771" spans="1:7">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c r="A777" s="179"/>
      <c r="B777" s="179"/>
      <c r="C777" s="179"/>
      <c r="D777" s="174"/>
      <c r="F777" s="183"/>
    </row>
    <row r="778" spans="1:7">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c r="A781" s="179"/>
      <c r="B781" s="179"/>
      <c r="C781" s="179"/>
      <c r="D781" s="174"/>
      <c r="F781" s="183"/>
    </row>
    <row r="782" spans="1:7">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c r="D785" s="174"/>
    </row>
    <row r="786" spans="1:7">
      <c r="A786" s="1307" t="s">
        <v>187</v>
      </c>
      <c r="B786" s="1307"/>
      <c r="C786" s="1307"/>
      <c r="D786" s="1307"/>
      <c r="E786" s="1307"/>
      <c r="F786" s="1307"/>
      <c r="G786" s="1307"/>
    </row>
    <row r="787" spans="1:7">
      <c r="A787" s="35"/>
      <c r="B787" s="35"/>
    </row>
    <row r="788" spans="1:7">
      <c r="A788" s="35"/>
      <c r="B788" s="1273" t="s">
        <v>449</v>
      </c>
      <c r="C788" s="1273"/>
      <c r="D788" s="1273"/>
      <c r="E788" s="1273"/>
      <c r="F788" s="1273"/>
    </row>
    <row r="789" spans="1:7">
      <c r="A789" s="35"/>
      <c r="B789" s="35"/>
      <c r="D789" s="174"/>
    </row>
    <row r="790" spans="1:7">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2134</v>
      </c>
      <c r="B2" s="1314"/>
      <c r="C2" s="1314"/>
      <c r="D2" s="1314"/>
      <c r="E2" s="1314"/>
      <c r="F2" s="1314"/>
      <c r="G2" s="1314"/>
      <c r="H2" s="1314"/>
      <c r="I2" s="1314"/>
      <c r="J2" s="1314"/>
    </row>
    <row r="3" spans="1:10" ht="15">
      <c r="A3" s="1317" t="s">
        <v>1426</v>
      </c>
      <c r="B3" s="1318"/>
      <c r="C3" s="1318"/>
      <c r="D3" s="1318"/>
      <c r="E3" s="1318"/>
      <c r="F3" s="1318"/>
      <c r="G3" s="1318"/>
      <c r="H3" s="1318"/>
      <c r="I3" s="1318"/>
      <c r="J3" s="1318"/>
    </row>
    <row r="4" spans="1:10" ht="12.75"/>
    <row r="5" spans="1:10" ht="12.75" customHeight="1">
      <c r="A5" s="1315" t="s">
        <v>2446</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19" t="s">
        <v>2139</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2135</v>
      </c>
      <c r="B72" s="1316"/>
      <c r="C72" s="1316"/>
      <c r="D72" s="1316"/>
      <c r="E72" s="1316"/>
      <c r="F72" s="1316"/>
      <c r="G72" s="1316"/>
      <c r="H72" s="1316"/>
      <c r="I72" s="1316"/>
    </row>
    <row r="73" spans="1:9" ht="12.75">
      <c r="A73" s="1268" t="s">
        <v>2444</v>
      </c>
      <c r="B73" s="1268"/>
      <c r="C73" s="1268"/>
      <c r="D73" s="1268"/>
      <c r="E73" s="1268"/>
    </row>
    <row r="74" spans="1:9" ht="12.75">
      <c r="A74" s="1268" t="s">
        <v>2445</v>
      </c>
      <c r="B74" s="1268"/>
      <c r="C74" s="1268"/>
      <c r="D74" s="1268"/>
      <c r="E74" s="1268"/>
    </row>
    <row r="75" spans="1:9" ht="12.75">
      <c r="A75" s="1268" t="s">
        <v>2136</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88" zoomScale="145" zoomScaleNormal="145" zoomScaleSheetLayoutView="100" workbookViewId="0">
      <selection activeCell="D1090" sqref="D1090:F109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2614</v>
      </c>
      <c r="B2" s="1337"/>
      <c r="C2" s="1337"/>
      <c r="D2" s="1337"/>
      <c r="E2" s="1337"/>
      <c r="F2" s="1337"/>
      <c r="G2" s="1337"/>
      <c r="H2" s="1337"/>
      <c r="I2" s="1337"/>
    </row>
    <row r="3" spans="1:13">
      <c r="A3" s="1333" t="s">
        <v>2002</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1202</v>
      </c>
      <c r="B6" s="1337"/>
      <c r="C6" s="1338"/>
      <c r="D6" s="1338"/>
      <c r="E6" s="1338"/>
      <c r="F6" s="1338"/>
      <c r="G6" s="1338"/>
      <c r="I6" s="525" t="s">
        <v>2145</v>
      </c>
    </row>
    <row r="7" spans="1:13">
      <c r="A7" s="1337" t="s">
        <v>1203</v>
      </c>
      <c r="B7" s="1337"/>
      <c r="C7" s="1338"/>
      <c r="D7" s="1338"/>
      <c r="E7" s="1338"/>
      <c r="F7" s="1338"/>
      <c r="G7" s="1338"/>
      <c r="I7" s="525" t="s">
        <v>2146</v>
      </c>
    </row>
    <row r="8" spans="1:13">
      <c r="A8" s="516"/>
      <c r="B8" s="516"/>
      <c r="C8" s="517"/>
      <c r="D8" s="517"/>
      <c r="E8" s="517"/>
      <c r="F8" s="517"/>
    </row>
    <row r="9" spans="1:13">
      <c r="A9" s="1277" t="s">
        <v>1205</v>
      </c>
      <c r="B9" s="1277"/>
      <c r="C9" s="1277"/>
      <c r="D9" s="1277"/>
      <c r="E9" s="1277"/>
      <c r="F9" s="1277"/>
      <c r="G9" s="1277"/>
      <c r="H9" s="1071"/>
      <c r="I9" s="1072"/>
    </row>
    <row r="10" spans="1:13">
      <c r="A10" s="517"/>
      <c r="B10" s="517"/>
      <c r="E10" s="436"/>
    </row>
    <row r="11" spans="1:13" ht="13.7" customHeight="1">
      <c r="C11" s="517"/>
      <c r="D11" s="1339" t="s">
        <v>1204</v>
      </c>
      <c r="E11" s="1339"/>
      <c r="F11" s="1339"/>
    </row>
    <row r="12" spans="1:13">
      <c r="C12" s="517"/>
      <c r="D12" s="1339"/>
      <c r="E12" s="1339"/>
      <c r="F12" s="1339"/>
    </row>
    <row r="13" spans="1:13">
      <c r="A13" s="518"/>
      <c r="B13" s="518"/>
      <c r="C13" s="518"/>
      <c r="D13" s="1290" t="s">
        <v>1187</v>
      </c>
      <c r="E13" s="1290"/>
      <c r="F13" s="1290"/>
      <c r="M13" s="96"/>
    </row>
    <row r="14" spans="1:13">
      <c r="A14" s="518"/>
      <c r="B14" s="518"/>
      <c r="C14" s="518"/>
      <c r="D14" s="511"/>
      <c r="L14" s="336"/>
    </row>
    <row r="15" spans="1:13" ht="14.25">
      <c r="A15" s="519"/>
      <c r="B15" s="520" t="s">
        <v>2733</v>
      </c>
      <c r="C15" s="518"/>
      <c r="D15" s="1289" t="s">
        <v>2303</v>
      </c>
      <c r="E15" s="1289"/>
      <c r="F15" s="1289"/>
      <c r="I15" s="436" t="s">
        <v>2147</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2301</v>
      </c>
      <c r="F18" s="480"/>
    </row>
    <row r="19" spans="1:9">
      <c r="A19" s="518"/>
      <c r="B19" s="518"/>
      <c r="C19" s="518"/>
    </row>
    <row r="20" spans="1:9" ht="14.25">
      <c r="A20" s="519"/>
      <c r="B20" s="520" t="s">
        <v>2733</v>
      </c>
      <c r="D20" s="1289" t="s">
        <v>2304</v>
      </c>
      <c r="E20" s="1289"/>
      <c r="F20" s="1289"/>
      <c r="I20" s="436" t="s">
        <v>2148</v>
      </c>
    </row>
    <row r="21" spans="1:9" ht="14.25">
      <c r="A21" s="519"/>
      <c r="D21" s="1289"/>
      <c r="E21" s="1289"/>
      <c r="F21" s="1289"/>
    </row>
    <row r="22" spans="1:9" ht="14.25">
      <c r="A22" s="519"/>
      <c r="D22" s="424"/>
      <c r="E22" s="96" t="s">
        <v>2300</v>
      </c>
      <c r="F22" s="424"/>
    </row>
    <row r="23" spans="1:9" ht="14.25">
      <c r="A23" s="519"/>
      <c r="B23" s="519"/>
      <c r="D23" s="481"/>
    </row>
    <row r="24" spans="1:9" ht="14.25">
      <c r="A24" s="519"/>
      <c r="B24" s="520" t="s">
        <v>2651</v>
      </c>
      <c r="D24" s="1289" t="s">
        <v>1190</v>
      </c>
      <c r="E24" s="1289"/>
      <c r="F24" s="1289"/>
      <c r="I24" s="436" t="s">
        <v>2148</v>
      </c>
    </row>
    <row r="25" spans="1:9" ht="14.25">
      <c r="A25" s="519"/>
      <c r="B25" s="519"/>
      <c r="D25" s="1289"/>
      <c r="E25" s="1289"/>
      <c r="F25" s="1289"/>
    </row>
    <row r="26" spans="1:9"/>
    <row r="27" spans="1:9" ht="14.25">
      <c r="A27" s="519"/>
      <c r="B27" s="520" t="s">
        <v>2733</v>
      </c>
      <c r="D27" s="1289" t="s">
        <v>2447</v>
      </c>
      <c r="E27" s="1289"/>
      <c r="F27" s="1289"/>
      <c r="I27" s="436" t="s">
        <v>2151</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2733</v>
      </c>
      <c r="D33" s="1289" t="s">
        <v>2448</v>
      </c>
      <c r="E33" s="1289"/>
      <c r="F33" s="1289"/>
      <c r="I33" s="436" t="s">
        <v>2147</v>
      </c>
    </row>
    <row r="34" spans="1:9">
      <c r="D34" s="1289"/>
      <c r="E34" s="1289"/>
      <c r="F34" s="1289"/>
    </row>
    <row r="35" spans="1:9" ht="14.25">
      <c r="A35" s="519"/>
      <c r="B35" s="519"/>
      <c r="D35" s="482"/>
    </row>
    <row r="36" spans="1:9" ht="14.45" customHeight="1">
      <c r="A36" s="519"/>
      <c r="B36" s="520" t="s">
        <v>2651</v>
      </c>
      <c r="D36" s="1289" t="s">
        <v>1357</v>
      </c>
      <c r="E36" s="1289"/>
      <c r="F36" s="1289"/>
      <c r="I36" s="436" t="s">
        <v>2218</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2651</v>
      </c>
      <c r="D41" s="1289" t="s">
        <v>1194</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2651</v>
      </c>
      <c r="D47" s="1289" t="s">
        <v>1195</v>
      </c>
      <c r="E47" s="1289"/>
      <c r="F47" s="1289"/>
      <c r="I47" s="436" t="s">
        <v>2218</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2651</v>
      </c>
      <c r="D52" s="1289" t="s">
        <v>1196</v>
      </c>
      <c r="E52" s="1289"/>
      <c r="F52" s="1289"/>
      <c r="I52" s="436" t="s">
        <v>2218</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2651</v>
      </c>
      <c r="D56" s="1335" t="s">
        <v>1197</v>
      </c>
      <c r="E56" s="1335"/>
      <c r="F56" s="1335"/>
    </row>
    <row r="57" spans="1:9" ht="14.25">
      <c r="A57" s="519"/>
      <c r="B57" s="519"/>
      <c r="D57" s="1335"/>
      <c r="E57" s="1335"/>
      <c r="F57" s="1335"/>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2651</v>
      </c>
      <c r="D61" s="1289" t="s">
        <v>1198</v>
      </c>
      <c r="E61" s="1289"/>
      <c r="F61" s="1289"/>
      <c r="I61" s="436" t="s">
        <v>2149</v>
      </c>
    </row>
    <row r="62" spans="1:9">
      <c r="D62" s="1289"/>
      <c r="E62" s="1289"/>
      <c r="F62" s="1289"/>
    </row>
    <row r="63" spans="1:9">
      <c r="D63" s="1289"/>
      <c r="E63" s="1289"/>
      <c r="F63" s="1289"/>
    </row>
    <row r="64" spans="1:9"/>
    <row r="65" spans="1:9" ht="14.25">
      <c r="A65" s="519"/>
      <c r="B65" s="520" t="s">
        <v>2651</v>
      </c>
      <c r="D65" s="1289" t="s">
        <v>1199</v>
      </c>
      <c r="E65" s="1289"/>
      <c r="F65" s="1289"/>
      <c r="I65" s="436" t="s">
        <v>2150</v>
      </c>
    </row>
    <row r="66" spans="1:9">
      <c r="D66" s="1289"/>
      <c r="E66" s="1289"/>
      <c r="F66" s="1289"/>
    </row>
    <row r="67" spans="1:9"/>
    <row r="68" spans="1:9" ht="14.25">
      <c r="A68" s="519"/>
      <c r="B68" s="520" t="s">
        <v>2733</v>
      </c>
      <c r="D68" s="1289" t="s">
        <v>1200</v>
      </c>
      <c r="E68" s="1289"/>
      <c r="F68" s="1289"/>
    </row>
    <row r="69" spans="1:9">
      <c r="D69" s="1289"/>
      <c r="E69" s="1289"/>
      <c r="F69" s="1289"/>
      <c r="I69" s="436" t="s">
        <v>2151</v>
      </c>
    </row>
    <row r="70" spans="1:9">
      <c r="D70" s="1289"/>
      <c r="E70" s="1289"/>
      <c r="F70" s="1289"/>
    </row>
    <row r="71" spans="1:9"/>
    <row r="72" spans="1:9" ht="14.25">
      <c r="A72" s="519"/>
      <c r="B72" s="520" t="s">
        <v>2733</v>
      </c>
      <c r="D72" s="1289" t="s">
        <v>1201</v>
      </c>
      <c r="E72" s="1289"/>
      <c r="F72" s="1289"/>
      <c r="I72" s="436" t="s">
        <v>2151</v>
      </c>
    </row>
    <row r="73" spans="1:9">
      <c r="D73" s="1289"/>
      <c r="E73" s="1289"/>
      <c r="F73" s="1289"/>
    </row>
    <row r="74" spans="1:9" ht="14.25">
      <c r="A74" s="519"/>
      <c r="B74" s="519"/>
      <c r="D74" s="481"/>
    </row>
    <row r="75" spans="1:9">
      <c r="A75" s="1277" t="s">
        <v>1108</v>
      </c>
      <c r="B75" s="1277"/>
      <c r="C75" s="1277"/>
      <c r="D75" s="1277"/>
      <c r="E75" s="1277"/>
      <c r="F75" s="1277"/>
      <c r="G75" s="1277"/>
      <c r="H75" s="1071"/>
      <c r="I75" s="1072"/>
    </row>
    <row r="76" spans="1:9"/>
    <row r="77" spans="1:9">
      <c r="C77" s="521"/>
      <c r="D77" s="1291" t="s">
        <v>1206</v>
      </c>
      <c r="E77" s="1291"/>
      <c r="F77" s="1291"/>
    </row>
    <row r="78" spans="1:9">
      <c r="A78" s="481"/>
      <c r="B78" s="481"/>
      <c r="D78" s="1289" t="s">
        <v>1233</v>
      </c>
      <c r="E78" s="1289"/>
      <c r="F78" s="1289"/>
    </row>
    <row r="79" spans="1:9">
      <c r="A79" s="481"/>
      <c r="B79" s="481"/>
    </row>
    <row r="80" spans="1:9" ht="13.7" customHeight="1">
      <c r="A80" s="519"/>
      <c r="B80" s="520" t="s">
        <v>2733</v>
      </c>
      <c r="D80" s="1289" t="s">
        <v>1401</v>
      </c>
      <c r="E80" s="1289"/>
      <c r="F80" s="1289"/>
      <c r="I80" s="436" t="s">
        <v>2152</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2733</v>
      </c>
      <c r="D89" s="1289" t="s">
        <v>2003</v>
      </c>
      <c r="E89" s="1289"/>
      <c r="F89" s="1289"/>
      <c r="I89" s="436" t="s">
        <v>2153</v>
      </c>
    </row>
    <row r="90" spans="1:9" ht="14.25">
      <c r="A90" s="519"/>
      <c r="B90" s="519"/>
      <c r="D90" s="1289"/>
      <c r="E90" s="1289"/>
      <c r="F90" s="1289"/>
    </row>
    <row r="91" spans="1:9" ht="14.25">
      <c r="A91" s="519"/>
      <c r="B91" s="519"/>
      <c r="D91" s="480"/>
      <c r="E91" s="480"/>
      <c r="F91" s="480"/>
    </row>
    <row r="92" spans="1:9" ht="14.25">
      <c r="A92" s="519"/>
      <c r="B92" s="520" t="s">
        <v>2733</v>
      </c>
      <c r="D92" s="1289" t="s">
        <v>2006</v>
      </c>
      <c r="E92" s="1289"/>
      <c r="F92" s="1289"/>
      <c r="I92" s="436" t="s">
        <v>2154</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2733</v>
      </c>
      <c r="D96" s="1289" t="s">
        <v>2005</v>
      </c>
      <c r="E96" s="1289"/>
      <c r="F96" s="1289"/>
      <c r="I96" s="436" t="s">
        <v>2199</v>
      </c>
    </row>
    <row r="97" spans="1:9" s="1024" customFormat="1" ht="14.25">
      <c r="A97" s="1022"/>
      <c r="B97" s="1022"/>
      <c r="C97" s="1023"/>
      <c r="D97" s="1289"/>
      <c r="E97" s="1289"/>
      <c r="F97" s="1289"/>
      <c r="I97" s="1063"/>
    </row>
    <row r="98" spans="1:9" ht="14.25">
      <c r="A98" s="519"/>
      <c r="B98" s="519"/>
      <c r="D98" s="424"/>
      <c r="E98" s="336" t="s">
        <v>2305</v>
      </c>
      <c r="F98" s="480"/>
    </row>
    <row r="99" spans="1:9" ht="14.25">
      <c r="A99" s="519"/>
      <c r="B99" s="519"/>
      <c r="D99" s="417"/>
      <c r="E99" s="417"/>
      <c r="F99" s="417"/>
    </row>
    <row r="100" spans="1:9" ht="14.25">
      <c r="A100" s="519"/>
      <c r="B100" s="520" t="s">
        <v>2651</v>
      </c>
      <c r="D100" s="1289" t="s">
        <v>2004</v>
      </c>
      <c r="E100" s="1289"/>
      <c r="F100" s="1289"/>
      <c r="I100" s="436" t="s">
        <v>2155</v>
      </c>
    </row>
    <row r="101" spans="1:9" ht="14.25">
      <c r="A101" s="519"/>
      <c r="B101" s="519"/>
      <c r="D101" s="1289"/>
      <c r="E101" s="1289"/>
      <c r="F101" s="1289"/>
    </row>
    <row r="102" spans="1:9" ht="14.25">
      <c r="A102" s="519"/>
      <c r="B102" s="519"/>
      <c r="D102" s="480"/>
      <c r="E102" s="480"/>
      <c r="F102" s="480"/>
    </row>
    <row r="103" spans="1:9" ht="14.45" customHeight="1">
      <c r="A103" s="519"/>
      <c r="B103" s="520" t="s">
        <v>2651</v>
      </c>
      <c r="D103" s="1289" t="s">
        <v>1337</v>
      </c>
      <c r="E103" s="1289"/>
      <c r="F103" s="1289"/>
      <c r="I103" s="436" t="s">
        <v>2156</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2651</v>
      </c>
      <c r="D119" s="1300" t="s">
        <v>1208</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2733</v>
      </c>
      <c r="C128" s="434"/>
      <c r="D128" s="1300" t="s">
        <v>2449</v>
      </c>
      <c r="E128" s="1300"/>
      <c r="F128" s="1300"/>
      <c r="I128" s="436" t="s">
        <v>2157</v>
      </c>
    </row>
    <row r="129" spans="1:9" ht="14.25">
      <c r="A129" s="519"/>
      <c r="B129" s="519"/>
      <c r="C129" s="434"/>
      <c r="D129" s="1300"/>
      <c r="E129" s="1300"/>
      <c r="F129" s="1300"/>
    </row>
    <row r="130" spans="1:9"/>
    <row r="131" spans="1:9" ht="14.25">
      <c r="A131" s="519"/>
      <c r="B131" s="520" t="s">
        <v>2733</v>
      </c>
      <c r="D131" s="1289" t="s">
        <v>1211</v>
      </c>
      <c r="E131" s="1289"/>
      <c r="F131" s="1289"/>
      <c r="I131" s="436" t="s">
        <v>2157</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2733</v>
      </c>
      <c r="D137" s="1289" t="s">
        <v>1212</v>
      </c>
      <c r="E137" s="1289"/>
      <c r="F137" s="1289"/>
      <c r="I137" s="436" t="s">
        <v>2158</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2651</v>
      </c>
      <c r="D151" s="1289" t="s">
        <v>1320</v>
      </c>
      <c r="E151" s="1289"/>
      <c r="F151" s="1289"/>
      <c r="I151" s="436" t="s">
        <v>2159</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2474</v>
      </c>
      <c r="E169" s="1334"/>
      <c r="F169" s="1334"/>
      <c r="G169" s="542"/>
    </row>
    <row r="170" spans="1:9" ht="13.7" customHeight="1">
      <c r="D170" s="1275"/>
      <c r="E170" s="1275"/>
      <c r="F170" s="1275"/>
      <c r="G170" s="1275"/>
    </row>
    <row r="171" spans="1:9" ht="14.45" customHeight="1">
      <c r="A171" s="524"/>
      <c r="B171" s="520" t="s">
        <v>2651</v>
      </c>
      <c r="C171" s="511"/>
      <c r="D171" s="1271" t="s">
        <v>1367</v>
      </c>
      <c r="E171" s="1271"/>
      <c r="F171" s="1271"/>
      <c r="G171" s="511"/>
      <c r="I171" s="436" t="s">
        <v>2154</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2733</v>
      </c>
      <c r="C175" s="511"/>
      <c r="D175" s="1271" t="s">
        <v>1214</v>
      </c>
      <c r="E175" s="1271"/>
      <c r="F175" s="1271"/>
      <c r="G175" s="511"/>
      <c r="I175" s="436" t="s">
        <v>2160</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2651</v>
      </c>
      <c r="D180" s="1276" t="s">
        <v>2450</v>
      </c>
      <c r="E180" s="1276"/>
      <c r="F180" s="1276"/>
      <c r="I180" s="436" t="s">
        <v>2161</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2451</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2140</v>
      </c>
      <c r="C187" s="424"/>
      <c r="D187" s="424"/>
      <c r="E187" s="424"/>
      <c r="F187" s="424"/>
    </row>
    <row r="188" spans="1:9" ht="12" customHeight="1">
      <c r="A188" s="517"/>
      <c r="B188" s="517"/>
      <c r="C188" s="517"/>
    </row>
    <row r="189" spans="1:9">
      <c r="A189" s="1277" t="s">
        <v>1110</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2007</v>
      </c>
      <c r="E191" s="1291"/>
      <c r="F191" s="1291"/>
    </row>
    <row r="192" spans="1:9">
      <c r="A192" s="436"/>
      <c r="B192" s="436"/>
      <c r="D192" s="1291"/>
      <c r="E192" s="1291"/>
      <c r="F192" s="1291"/>
    </row>
    <row r="193" spans="1:9">
      <c r="A193" s="436"/>
      <c r="B193" s="436"/>
      <c r="D193" s="1292" t="s">
        <v>1338</v>
      </c>
      <c r="E193" s="1292"/>
      <c r="F193" s="1292"/>
    </row>
    <row r="194" spans="1:9">
      <c r="A194" s="436"/>
      <c r="B194" s="436"/>
      <c r="D194" s="424"/>
      <c r="E194" s="424"/>
      <c r="F194" s="424"/>
    </row>
    <row r="195" spans="1:9">
      <c r="A195" s="436"/>
      <c r="B195" s="520" t="s">
        <v>2733</v>
      </c>
      <c r="D195" s="1273" t="s">
        <v>2008</v>
      </c>
      <c r="E195" s="1273"/>
      <c r="F195" s="1273"/>
      <c r="I195" s="436" t="s">
        <v>2210</v>
      </c>
    </row>
    <row r="196" spans="1:9">
      <c r="A196" s="436"/>
      <c r="B196" s="436"/>
      <c r="D196" s="1305" t="s">
        <v>2283</v>
      </c>
      <c r="E196" s="1305"/>
      <c r="F196" s="1305"/>
    </row>
    <row r="197" spans="1:9">
      <c r="A197" s="436"/>
      <c r="B197" s="436"/>
      <c r="D197" s="96" t="s">
        <v>2009</v>
      </c>
      <c r="E197" s="1336" t="s">
        <v>2306</v>
      </c>
      <c r="F197" s="1336"/>
    </row>
    <row r="198" spans="1:9">
      <c r="A198" s="436"/>
      <c r="B198" s="436"/>
      <c r="D198" s="3"/>
      <c r="E198" s="3"/>
      <c r="F198" s="3"/>
    </row>
    <row r="199" spans="1:9">
      <c r="A199" s="436"/>
      <c r="B199" s="520" t="s">
        <v>2651</v>
      </c>
      <c r="D199" s="1305" t="s">
        <v>2010</v>
      </c>
      <c r="E199" s="1305"/>
      <c r="F199" s="1305"/>
      <c r="I199" s="436" t="s">
        <v>2211</v>
      </c>
    </row>
    <row r="200" spans="1:9">
      <c r="A200" s="436"/>
      <c r="B200" s="436"/>
      <c r="D200" s="1273" t="s">
        <v>2283</v>
      </c>
      <c r="E200" s="1273"/>
      <c r="F200" s="1273"/>
    </row>
    <row r="201" spans="1:9">
      <c r="A201" s="436"/>
      <c r="B201" s="436"/>
      <c r="D201" s="57" t="s">
        <v>2011</v>
      </c>
      <c r="E201" s="1336" t="s">
        <v>2307</v>
      </c>
      <c r="F201" s="1336"/>
    </row>
    <row r="202" spans="1:9">
      <c r="A202" s="436"/>
      <c r="B202" s="436"/>
      <c r="D202" s="3"/>
      <c r="E202" s="3"/>
      <c r="F202" s="3"/>
    </row>
    <row r="203" spans="1:9">
      <c r="A203" s="436"/>
      <c r="B203" s="520" t="s">
        <v>2651</v>
      </c>
      <c r="D203" s="1305" t="s">
        <v>2012</v>
      </c>
      <c r="E203" s="1305"/>
      <c r="F203" s="1305"/>
      <c r="I203" s="436" t="s">
        <v>2212</v>
      </c>
    </row>
    <row r="204" spans="1:9">
      <c r="A204" s="436"/>
      <c r="B204" s="436"/>
      <c r="D204" s="1273" t="s">
        <v>2283</v>
      </c>
      <c r="E204" s="1273"/>
      <c r="F204" s="1273"/>
    </row>
    <row r="205" spans="1:9">
      <c r="A205" s="436"/>
      <c r="B205" s="436"/>
      <c r="D205" s="57" t="s">
        <v>2009</v>
      </c>
      <c r="E205" s="1336" t="s">
        <v>2308</v>
      </c>
      <c r="F205" s="1336"/>
    </row>
    <row r="206" spans="1:9">
      <c r="A206" s="436"/>
      <c r="B206" s="436"/>
      <c r="D206" s="424"/>
      <c r="E206" s="424"/>
      <c r="F206" s="424"/>
    </row>
    <row r="207" spans="1:9" ht="14.25" customHeight="1">
      <c r="A207" s="519"/>
      <c r="B207" s="520" t="s">
        <v>2651</v>
      </c>
      <c r="D207" s="418" t="s">
        <v>2276</v>
      </c>
      <c r="E207" s="417"/>
      <c r="F207" s="417"/>
      <c r="I207" s="436" t="s">
        <v>2213</v>
      </c>
    </row>
    <row r="208" spans="1:9" ht="14.25">
      <c r="A208" s="519"/>
      <c r="B208" s="519"/>
      <c r="D208" s="1273" t="s">
        <v>2283</v>
      </c>
      <c r="E208" s="1273"/>
      <c r="F208" s="1273"/>
    </row>
    <row r="209" spans="1:9">
      <c r="D209" s="417"/>
      <c r="E209" s="1336" t="s">
        <v>2309</v>
      </c>
      <c r="F209" s="1336"/>
    </row>
    <row r="210" spans="1:9">
      <c r="D210" s="482"/>
    </row>
    <row r="211" spans="1:9">
      <c r="B211" s="520" t="s">
        <v>2651</v>
      </c>
      <c r="D211" s="1305" t="s">
        <v>2013</v>
      </c>
      <c r="E211" s="1305"/>
      <c r="F211" s="1305"/>
      <c r="I211" s="436" t="s">
        <v>2214</v>
      </c>
    </row>
    <row r="212" spans="1:9">
      <c r="D212" s="1273" t="s">
        <v>2283</v>
      </c>
      <c r="E212" s="1273"/>
      <c r="F212" s="1273"/>
    </row>
    <row r="213" spans="1:9">
      <c r="D213" s="57" t="s">
        <v>2009</v>
      </c>
      <c r="E213" s="1336" t="s">
        <v>2310</v>
      </c>
      <c r="F213" s="1336"/>
    </row>
    <row r="214" spans="1:9">
      <c r="D214" s="486"/>
      <c r="E214" s="486"/>
      <c r="F214" s="486"/>
    </row>
    <row r="215" spans="1:9" ht="14.25">
      <c r="A215" s="519"/>
      <c r="B215" s="520" t="s">
        <v>2651</v>
      </c>
      <c r="D215" s="1289" t="s">
        <v>1359</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1111</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1240</v>
      </c>
      <c r="E223" s="1290"/>
      <c r="F223" s="1290"/>
    </row>
    <row r="224" spans="1:9" ht="12" customHeight="1">
      <c r="A224" s="525"/>
      <c r="B224" s="525"/>
      <c r="C224" s="525"/>
    </row>
    <row r="225" spans="1:9" ht="13.7" customHeight="1">
      <c r="A225" s="525"/>
      <c r="C225" s="525"/>
      <c r="D225" s="1288" t="s">
        <v>555</v>
      </c>
      <c r="E225" s="1288"/>
      <c r="F225" s="1288"/>
      <c r="I225" s="436" t="s">
        <v>2162</v>
      </c>
    </row>
    <row r="226" spans="1:9" ht="14.25">
      <c r="A226" s="519"/>
      <c r="B226" s="520" t="s">
        <v>2733</v>
      </c>
      <c r="D226" s="1289" t="s">
        <v>2014</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2733</v>
      </c>
      <c r="D231" s="1289" t="s">
        <v>2015</v>
      </c>
      <c r="E231" s="1289"/>
      <c r="F231" s="1289"/>
      <c r="I231" s="436" t="s">
        <v>2163</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1236</v>
      </c>
      <c r="E237" s="1289"/>
      <c r="F237" s="1289"/>
      <c r="I237" s="436" t="s">
        <v>2162</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308</v>
      </c>
      <c r="D243" s="1289" t="s">
        <v>2452</v>
      </c>
      <c r="E243" s="1289"/>
      <c r="F243" s="1289"/>
      <c r="I243" s="436" t="s">
        <v>2201</v>
      </c>
    </row>
    <row r="244" spans="1:9" ht="14.25">
      <c r="A244" s="519"/>
      <c r="B244" s="519"/>
      <c r="D244" s="1289"/>
      <c r="E244" s="1289"/>
      <c r="F244" s="1289"/>
    </row>
    <row r="245" spans="1:9" ht="14.25">
      <c r="A245" s="519"/>
      <c r="B245" s="519"/>
      <c r="D245" s="1289"/>
      <c r="E245" s="1289"/>
      <c r="F245" s="1289"/>
    </row>
    <row r="246" spans="1:9" ht="14.25">
      <c r="A246" s="519"/>
      <c r="B246" s="519"/>
      <c r="E246" s="1080" t="s">
        <v>2277</v>
      </c>
    </row>
    <row r="247" spans="1:9" ht="14.25">
      <c r="A247" s="519"/>
      <c r="B247" s="519"/>
      <c r="D247" s="481"/>
      <c r="E247" s="481"/>
      <c r="F247" s="481"/>
    </row>
    <row r="248" spans="1:9" ht="14.45" customHeight="1">
      <c r="A248" s="519"/>
      <c r="B248" s="520" t="s">
        <v>2651</v>
      </c>
      <c r="D248" s="1289" t="s">
        <v>2453</v>
      </c>
      <c r="E248" s="1289"/>
      <c r="F248" s="1289"/>
      <c r="I248" s="436" t="s">
        <v>2219</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2733</v>
      </c>
      <c r="D254" s="424" t="s">
        <v>2454</v>
      </c>
      <c r="E254" s="480"/>
      <c r="F254" s="480"/>
      <c r="I254" s="436" t="s">
        <v>2200</v>
      </c>
    </row>
    <row r="255" spans="1:9" ht="14.25">
      <c r="A255" s="519"/>
      <c r="B255" s="519"/>
      <c r="E255" s="1080" t="s">
        <v>2278</v>
      </c>
    </row>
    <row r="256" spans="1:9">
      <c r="D256" s="481"/>
      <c r="E256" s="481"/>
      <c r="F256" s="481"/>
    </row>
    <row r="257" spans="1:9" ht="14.25">
      <c r="A257" s="519"/>
      <c r="B257" s="520" t="s">
        <v>2733</v>
      </c>
      <c r="D257" s="1289" t="s">
        <v>1238</v>
      </c>
      <c r="E257" s="1289"/>
      <c r="F257" s="1289"/>
    </row>
    <row r="258" spans="1:9" ht="14.25">
      <c r="A258" s="519"/>
      <c r="B258" s="519"/>
      <c r="D258" s="1289"/>
      <c r="E258" s="1289"/>
      <c r="F258" s="1289"/>
    </row>
    <row r="259" spans="1:9">
      <c r="D259" s="526"/>
    </row>
    <row r="260" spans="1:9">
      <c r="A260" s="1277" t="s">
        <v>1112</v>
      </c>
      <c r="B260" s="1277"/>
      <c r="C260" s="1277"/>
      <c r="D260" s="1277"/>
      <c r="E260" s="1277"/>
      <c r="F260" s="1277"/>
      <c r="G260" s="1277"/>
      <c r="H260" s="1071"/>
      <c r="I260" s="1072"/>
    </row>
    <row r="261" spans="1:9">
      <c r="D261" s="526"/>
    </row>
    <row r="262" spans="1:9">
      <c r="C262" s="521"/>
      <c r="D262" s="1288" t="s">
        <v>1241</v>
      </c>
      <c r="E262" s="1288"/>
      <c r="F262" s="1288"/>
    </row>
    <row r="263" spans="1:9">
      <c r="A263" s="517"/>
      <c r="B263" s="517"/>
      <c r="C263" s="517"/>
      <c r="D263" s="481"/>
      <c r="E263" s="481"/>
      <c r="F263" s="481"/>
    </row>
    <row r="264" spans="1:9">
      <c r="A264" s="518"/>
      <c r="B264" s="518"/>
      <c r="C264" s="518"/>
      <c r="D264" s="1288" t="s">
        <v>270</v>
      </c>
      <c r="E264" s="1288"/>
      <c r="F264" s="1288"/>
      <c r="I264" s="436" t="s">
        <v>2202</v>
      </c>
    </row>
    <row r="265" spans="1:9" ht="14.45" customHeight="1">
      <c r="A265" s="519"/>
      <c r="B265" s="520" t="s">
        <v>2733</v>
      </c>
      <c r="D265" s="1289" t="s">
        <v>1339</v>
      </c>
      <c r="E265" s="1289"/>
      <c r="F265" s="1289"/>
    </row>
    <row r="266" spans="1:9">
      <c r="D266" s="1289"/>
      <c r="E266" s="1289"/>
      <c r="F266" s="1289"/>
    </row>
    <row r="267" spans="1:9">
      <c r="E267" s="1080" t="s">
        <v>2279</v>
      </c>
    </row>
    <row r="268" spans="1:9">
      <c r="D268" s="481"/>
      <c r="E268" s="481"/>
      <c r="F268" s="481"/>
    </row>
    <row r="269" spans="1:9" ht="14.45" customHeight="1">
      <c r="A269" s="519"/>
      <c r="B269" s="520" t="s">
        <v>2651</v>
      </c>
      <c r="D269" s="1289" t="s">
        <v>2455</v>
      </c>
      <c r="E269" s="1289"/>
      <c r="F269" s="1289"/>
      <c r="I269" s="436" t="s">
        <v>2220</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2651</v>
      </c>
      <c r="D276" s="1289" t="s">
        <v>1244</v>
      </c>
      <c r="E276" s="1289"/>
      <c r="F276" s="1289"/>
    </row>
    <row r="277" spans="1:9">
      <c r="D277" s="1289"/>
      <c r="E277" s="1289"/>
      <c r="F277" s="1289"/>
    </row>
    <row r="278" spans="1:9">
      <c r="D278" s="1289"/>
      <c r="E278" s="1289"/>
      <c r="F278" s="1289"/>
    </row>
    <row r="279" spans="1:9">
      <c r="D279" s="527"/>
      <c r="E279" s="481"/>
      <c r="F279" s="481"/>
    </row>
    <row r="280" spans="1:9">
      <c r="A280" s="1277" t="s">
        <v>1113</v>
      </c>
      <c r="B280" s="1277"/>
      <c r="C280" s="1277"/>
      <c r="D280" s="1277"/>
      <c r="E280" s="1277"/>
      <c r="F280" s="1277"/>
      <c r="G280" s="1277"/>
      <c r="H280" s="1071"/>
      <c r="I280" s="1072"/>
    </row>
    <row r="281" spans="1:9">
      <c r="D281" s="527"/>
      <c r="E281" s="481"/>
      <c r="F281" s="481"/>
    </row>
    <row r="282" spans="1:9">
      <c r="C282" s="517"/>
      <c r="D282" s="1291" t="s">
        <v>1246</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1247</v>
      </c>
      <c r="E286" s="1340"/>
      <c r="F286" s="1340"/>
    </row>
    <row r="287" spans="1:9">
      <c r="E287" s="481"/>
      <c r="F287" s="481"/>
    </row>
    <row r="288" spans="1:9" ht="14.25">
      <c r="A288" s="519"/>
      <c r="B288" s="520" t="s">
        <v>2651</v>
      </c>
      <c r="D288" s="1289" t="s">
        <v>1248</v>
      </c>
      <c r="E288" s="1289"/>
      <c r="F288" s="1289"/>
      <c r="I288" s="436" t="s">
        <v>2164</v>
      </c>
    </row>
    <row r="289" spans="1:9" ht="14.25">
      <c r="A289" s="519"/>
      <c r="B289" s="519"/>
      <c r="D289" s="1289"/>
      <c r="E289" s="1289"/>
      <c r="F289" s="1289"/>
    </row>
    <row r="290" spans="1:9">
      <c r="D290" s="481"/>
      <c r="E290" s="481"/>
      <c r="F290" s="481"/>
    </row>
    <row r="291" spans="1:9" ht="14.25">
      <c r="A291" s="519"/>
      <c r="B291" s="520" t="s">
        <v>2651</v>
      </c>
      <c r="D291" s="1289" t="s">
        <v>1249</v>
      </c>
      <c r="E291" s="1289"/>
      <c r="F291" s="1289"/>
      <c r="I291" s="436" t="s">
        <v>2164</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2651</v>
      </c>
      <c r="D295" s="1289" t="s">
        <v>1250</v>
      </c>
      <c r="E295" s="1289"/>
      <c r="F295" s="1289"/>
      <c r="I295" s="436" t="s">
        <v>2164</v>
      </c>
    </row>
    <row r="296" spans="1:9" ht="14.25">
      <c r="A296" s="519"/>
      <c r="B296" s="519"/>
      <c r="D296" s="1289"/>
      <c r="E296" s="1289"/>
      <c r="F296" s="1289"/>
    </row>
    <row r="297" spans="1:9">
      <c r="A297" s="525"/>
      <c r="B297" s="525"/>
      <c r="E297" s="481"/>
      <c r="F297" s="481"/>
    </row>
    <row r="298" spans="1:9">
      <c r="A298" s="1277" t="s">
        <v>1114</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1251</v>
      </c>
      <c r="E301" s="1290"/>
      <c r="F301" s="1290"/>
    </row>
    <row r="302" spans="1:9">
      <c r="C302" s="525"/>
      <c r="D302" s="528"/>
    </row>
    <row r="303" spans="1:9">
      <c r="B303" s="520" t="s">
        <v>2651</v>
      </c>
      <c r="D303" s="1290" t="s">
        <v>1252</v>
      </c>
      <c r="E303" s="1290"/>
      <c r="F303" s="1290"/>
      <c r="I303" s="436" t="s">
        <v>2165</v>
      </c>
    </row>
    <row r="304" spans="1:9" ht="14.25">
      <c r="A304" s="519"/>
      <c r="B304" s="519"/>
      <c r="D304" s="529"/>
      <c r="E304" s="530"/>
      <c r="F304" s="530"/>
    </row>
    <row r="305" spans="1:9" ht="13.7" customHeight="1">
      <c r="B305" s="520" t="s">
        <v>2651</v>
      </c>
      <c r="D305" s="1343" t="s">
        <v>1363</v>
      </c>
      <c r="E305" s="1343"/>
      <c r="F305" s="1343"/>
      <c r="I305" s="436" t="s">
        <v>2165</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2651</v>
      </c>
      <c r="D311" s="1343" t="s">
        <v>1254</v>
      </c>
      <c r="E311" s="1343"/>
      <c r="F311" s="1343"/>
      <c r="I311" s="436" t="s">
        <v>2165</v>
      </c>
    </row>
    <row r="312" spans="1:9">
      <c r="D312" s="1343"/>
      <c r="E312" s="1343"/>
      <c r="F312" s="1343"/>
    </row>
    <row r="313" spans="1:9" ht="14.25">
      <c r="A313" s="519"/>
      <c r="B313" s="519"/>
      <c r="D313" s="529"/>
      <c r="E313" s="530"/>
      <c r="F313" s="530"/>
    </row>
    <row r="314" spans="1:9">
      <c r="B314" s="520" t="s">
        <v>2651</v>
      </c>
      <c r="D314" s="1290" t="s">
        <v>1255</v>
      </c>
      <c r="E314" s="1290"/>
      <c r="F314" s="1290"/>
      <c r="I314" s="436" t="s">
        <v>2151</v>
      </c>
    </row>
    <row r="315" spans="1:9">
      <c r="E315" s="481"/>
      <c r="F315" s="481"/>
    </row>
    <row r="316" spans="1:9" ht="14.25">
      <c r="A316" s="519"/>
      <c r="B316" s="520" t="s">
        <v>2651</v>
      </c>
      <c r="D316" s="1289" t="s">
        <v>2475</v>
      </c>
      <c r="E316" s="1289"/>
      <c r="F316" s="1289"/>
      <c r="I316" s="436" t="s">
        <v>2166</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2651</v>
      </c>
      <c r="D332" s="1289" t="s">
        <v>1257</v>
      </c>
      <c r="E332" s="1289"/>
      <c r="F332" s="1289"/>
      <c r="I332" s="436" t="s">
        <v>2166</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2651</v>
      </c>
      <c r="D342" s="1289" t="s">
        <v>2284</v>
      </c>
      <c r="E342" s="1289"/>
      <c r="F342" s="1289"/>
      <c r="I342" s="436" t="s">
        <v>2203</v>
      </c>
    </row>
    <row r="343" spans="1:9">
      <c r="D343" s="1289"/>
      <c r="E343" s="1289"/>
      <c r="F343" s="1289"/>
    </row>
    <row r="344" spans="1:9">
      <c r="D344" s="1289"/>
      <c r="E344" s="1289"/>
      <c r="F344" s="1289"/>
    </row>
    <row r="345" spans="1:9">
      <c r="D345" s="1289"/>
      <c r="E345" s="1289"/>
      <c r="F345" s="1289"/>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2" t="s">
        <v>1019</v>
      </c>
      <c r="E349" s="1332"/>
      <c r="F349" s="1332"/>
      <c r="G349" s="1069"/>
      <c r="H349" s="1069"/>
      <c r="I349" s="1070"/>
    </row>
    <row r="350" spans="1:9" ht="13.5" thickTop="1">
      <c r="D350" s="1344" t="s">
        <v>1259</v>
      </c>
      <c r="E350" s="1344"/>
      <c r="F350" s="1344"/>
    </row>
    <row r="351" spans="1:9">
      <c r="D351" s="481"/>
      <c r="E351" s="481"/>
      <c r="F351" s="481"/>
    </row>
    <row r="352" spans="1:9">
      <c r="A352" s="511"/>
      <c r="B352" s="511"/>
      <c r="C352" s="511"/>
      <c r="D352" s="482"/>
      <c r="E352" s="482"/>
      <c r="F352" s="481"/>
      <c r="I352" s="436" t="s">
        <v>2167</v>
      </c>
    </row>
    <row r="353" spans="1:9" ht="14.25">
      <c r="A353" s="519"/>
      <c r="B353" s="520" t="s">
        <v>2651</v>
      </c>
      <c r="C353" s="522"/>
      <c r="D353" s="1290" t="s">
        <v>2282</v>
      </c>
      <c r="E353" s="1290"/>
      <c r="F353" s="1290"/>
      <c r="I353" s="1346" t="s">
        <v>2217</v>
      </c>
    </row>
    <row r="354" spans="1:9" ht="12.75" customHeight="1">
      <c r="D354" s="1081"/>
      <c r="E354" s="96" t="s">
        <v>2281</v>
      </c>
      <c r="F354" s="1081"/>
      <c r="I354" s="1347"/>
    </row>
    <row r="355" spans="1:9">
      <c r="D355" s="1289" t="s">
        <v>1386</v>
      </c>
      <c r="E355" s="1289"/>
      <c r="F355" s="1289"/>
      <c r="I355" s="1347"/>
    </row>
    <row r="356" spans="1:9">
      <c r="D356" s="1289"/>
      <c r="E356" s="1289"/>
      <c r="F356" s="1289"/>
      <c r="I356" s="1347"/>
    </row>
    <row r="357" spans="1:9">
      <c r="D357" s="1289"/>
      <c r="E357" s="1289"/>
      <c r="F357" s="1289"/>
      <c r="I357" s="1348"/>
    </row>
    <row r="358" spans="1:9" ht="14.25">
      <c r="A358" s="519"/>
      <c r="B358" s="520" t="s">
        <v>2651</v>
      </c>
      <c r="C358" s="511"/>
      <c r="D358" s="1275" t="s">
        <v>2456</v>
      </c>
      <c r="E358" s="1275"/>
      <c r="F358" s="1275"/>
      <c r="I358" s="434"/>
    </row>
    <row r="359" spans="1:9">
      <c r="A359" s="511"/>
      <c r="B359" s="511"/>
      <c r="C359" s="511"/>
      <c r="D359" s="482"/>
      <c r="E359" s="482"/>
      <c r="F359" s="481"/>
    </row>
    <row r="360" spans="1:9">
      <c r="A360" s="511"/>
      <c r="B360" s="520" t="s">
        <v>2651</v>
      </c>
      <c r="C360" s="511"/>
      <c r="D360" s="1271" t="s">
        <v>2457</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2651</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2651</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308</v>
      </c>
      <c r="C385" s="511"/>
      <c r="D385" s="1271" t="s">
        <v>1262</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1263</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1264</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2651</v>
      </c>
      <c r="C418" s="511"/>
      <c r="D418" s="1271" t="s">
        <v>1265</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2651</v>
      </c>
      <c r="D421" s="1271" t="s">
        <v>2204</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2651</v>
      </c>
      <c r="C427" s="511"/>
      <c r="D427" s="1271" t="s">
        <v>1388</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2476</v>
      </c>
      <c r="E431" s="1271"/>
      <c r="F431" s="1271"/>
    </row>
    <row r="432" spans="1:6">
      <c r="D432" s="481"/>
      <c r="E432" s="481"/>
      <c r="F432" s="481"/>
    </row>
    <row r="433" spans="1:6" ht="14.25">
      <c r="A433" s="519"/>
      <c r="B433" s="520" t="s">
        <v>2651</v>
      </c>
      <c r="C433" s="522"/>
      <c r="D433" s="1289" t="s">
        <v>2458</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2651</v>
      </c>
      <c r="C465" s="522"/>
      <c r="D465" s="1289" t="s">
        <v>1270</v>
      </c>
      <c r="E465" s="1289"/>
      <c r="F465" s="1289"/>
    </row>
    <row r="466" spans="1:6">
      <c r="D466" s="1289"/>
      <c r="E466" s="1289"/>
      <c r="F466" s="1289"/>
    </row>
    <row r="467" spans="1:6">
      <c r="D467" s="1289"/>
      <c r="E467" s="1289"/>
      <c r="F467" s="1289"/>
    </row>
    <row r="468" spans="1:6">
      <c r="D468" s="480"/>
      <c r="E468" s="480"/>
      <c r="F468" s="480"/>
    </row>
    <row r="469" spans="1:6" ht="14.25">
      <c r="B469" s="520" t="s">
        <v>2651</v>
      </c>
      <c r="C469" s="519"/>
      <c r="D469" s="1289" t="s">
        <v>1340</v>
      </c>
      <c r="E469" s="1289"/>
      <c r="F469" s="1289"/>
    </row>
    <row r="470" spans="1:6">
      <c r="D470" s="1289"/>
      <c r="E470" s="1289"/>
      <c r="F470" s="1289"/>
    </row>
    <row r="471" spans="1:6">
      <c r="D471" s="481"/>
      <c r="E471" s="481"/>
      <c r="F471" s="481"/>
    </row>
    <row r="472" spans="1:6" ht="14.25">
      <c r="B472" s="520" t="s">
        <v>2651</v>
      </c>
      <c r="C472" s="519"/>
      <c r="D472" s="1289" t="s">
        <v>1272</v>
      </c>
      <c r="E472" s="1289"/>
      <c r="F472" s="1289"/>
    </row>
    <row r="473" spans="1:6">
      <c r="D473" s="1289"/>
      <c r="E473" s="1289"/>
      <c r="F473" s="1289"/>
    </row>
    <row r="474" spans="1:6">
      <c r="D474" s="1289"/>
      <c r="E474" s="1289"/>
      <c r="F474" s="1289"/>
    </row>
    <row r="475" spans="1:6">
      <c r="D475" s="1289"/>
      <c r="E475" s="1289"/>
      <c r="F475" s="1289"/>
    </row>
    <row r="476" spans="1:6">
      <c r="B476" s="520" t="s">
        <v>2651</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2651</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2651</v>
      </c>
      <c r="C484" s="434"/>
      <c r="D484" s="1289"/>
      <c r="E484" s="1289"/>
      <c r="F484" s="1289"/>
    </row>
    <row r="485" spans="1:9">
      <c r="A485" s="434"/>
      <c r="C485" s="434"/>
      <c r="D485" s="1289"/>
      <c r="E485" s="1289"/>
      <c r="F485" s="1289"/>
    </row>
    <row r="486" spans="1:9">
      <c r="A486" s="434"/>
      <c r="B486" s="520" t="s">
        <v>2651</v>
      </c>
      <c r="C486" s="434"/>
      <c r="D486" s="1289" t="s">
        <v>1273</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2651</v>
      </c>
      <c r="D492" s="1290" t="s">
        <v>1274</v>
      </c>
      <c r="E492" s="1290"/>
      <c r="F492" s="1290"/>
    </row>
    <row r="493" spans="1:9">
      <c r="A493" s="481"/>
      <c r="B493" s="481"/>
    </row>
    <row r="494" spans="1:9">
      <c r="A494" s="1277" t="s">
        <v>1115</v>
      </c>
      <c r="B494" s="1277"/>
      <c r="C494" s="1277"/>
      <c r="D494" s="1277"/>
      <c r="E494" s="1277"/>
      <c r="F494" s="1277"/>
      <c r="G494" s="1277"/>
      <c r="H494" s="1071"/>
      <c r="I494" s="1072"/>
    </row>
    <row r="495" spans="1:9">
      <c r="A495" s="481"/>
      <c r="B495" s="481"/>
    </row>
    <row r="496" spans="1:9">
      <c r="D496" s="1274" t="s">
        <v>912</v>
      </c>
      <c r="E496" s="1274"/>
      <c r="F496" s="1274"/>
    </row>
    <row r="497" spans="1:9" ht="14.25">
      <c r="A497" s="519"/>
      <c r="B497" s="519"/>
      <c r="D497" s="1275" t="s">
        <v>1275</v>
      </c>
      <c r="E497" s="1275"/>
      <c r="F497" s="1275"/>
    </row>
    <row r="498" spans="1:9" ht="14.25">
      <c r="A498" s="519"/>
      <c r="B498" s="519"/>
      <c r="D498" s="482"/>
    </row>
    <row r="499" spans="1:9" ht="14.25">
      <c r="A499" s="519"/>
      <c r="B499" s="520" t="s">
        <v>2651</v>
      </c>
      <c r="D499" s="1271" t="s">
        <v>1276</v>
      </c>
      <c r="E499" s="1271"/>
      <c r="F499" s="1271"/>
      <c r="I499" s="436" t="s">
        <v>2168</v>
      </c>
    </row>
    <row r="500" spans="1:9" ht="14.25">
      <c r="A500" s="519"/>
      <c r="B500" s="519"/>
      <c r="D500" s="1271"/>
      <c r="E500" s="1271"/>
      <c r="F500" s="1271"/>
    </row>
    <row r="501" spans="1:9" ht="14.25">
      <c r="A501" s="519"/>
      <c r="B501" s="519"/>
      <c r="D501" s="481"/>
    </row>
    <row r="502" spans="1:9" ht="12.75" customHeight="1">
      <c r="B502" s="520" t="s">
        <v>2651</v>
      </c>
      <c r="D502" s="1276" t="s">
        <v>1431</v>
      </c>
      <c r="E502" s="1276"/>
      <c r="F502" s="1276"/>
      <c r="I502" s="436" t="s">
        <v>2169</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2651</v>
      </c>
      <c r="D507" s="1290" t="s">
        <v>1279</v>
      </c>
      <c r="E507" s="1290"/>
      <c r="F507" s="1290"/>
      <c r="I507" s="436" t="s">
        <v>2170</v>
      </c>
    </row>
    <row r="508" spans="1:9" ht="14.25">
      <c r="A508" s="519"/>
      <c r="B508" s="519"/>
      <c r="D508" s="481"/>
    </row>
    <row r="509" spans="1:9" ht="14.25">
      <c r="A509" s="519"/>
      <c r="B509" s="520" t="s">
        <v>2651</v>
      </c>
      <c r="D509" s="1289" t="s">
        <v>1280</v>
      </c>
      <c r="E509" s="1289"/>
      <c r="F509" s="1289"/>
      <c r="I509" s="436" t="s">
        <v>2170</v>
      </c>
    </row>
    <row r="510" spans="1:9" ht="14.25">
      <c r="A510" s="519"/>
      <c r="D510" s="1289"/>
      <c r="E510" s="1289"/>
      <c r="F510" s="1289"/>
    </row>
    <row r="511" spans="1:9">
      <c r="A511" s="525"/>
      <c r="B511" s="525"/>
      <c r="D511" s="482"/>
    </row>
    <row r="512" spans="1:9">
      <c r="A512" s="525"/>
      <c r="B512" s="520" t="s">
        <v>2651</v>
      </c>
      <c r="D512" s="1290" t="s">
        <v>1281</v>
      </c>
      <c r="E512" s="1290"/>
      <c r="F512" s="1290"/>
      <c r="I512" s="436" t="s">
        <v>2223</v>
      </c>
    </row>
    <row r="513" spans="1:9" ht="14.25">
      <c r="A513" s="519"/>
      <c r="B513" s="519"/>
      <c r="D513" s="481"/>
    </row>
    <row r="514" spans="1:9">
      <c r="A514" s="1277" t="s">
        <v>1116</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2733</v>
      </c>
      <c r="C520" s="518"/>
      <c r="D520" s="1271" t="s">
        <v>2459</v>
      </c>
      <c r="E520" s="1271"/>
      <c r="F520" s="1271"/>
      <c r="I520" s="436" t="s">
        <v>2205</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2651</v>
      </c>
      <c r="D523" s="418" t="s">
        <v>2285</v>
      </c>
      <c r="E523" s="417"/>
      <c r="F523" s="417"/>
      <c r="I523" s="436" t="s">
        <v>2171</v>
      </c>
    </row>
    <row r="524" spans="1:9">
      <c r="A524" s="518"/>
      <c r="B524" s="518"/>
      <c r="C524" s="518"/>
      <c r="D524" s="417"/>
      <c r="E524" s="96" t="s">
        <v>2286</v>
      </c>
    </row>
    <row r="525" spans="1:9">
      <c r="A525" s="518"/>
      <c r="B525" s="518"/>
      <c r="D525" s="1319" t="s">
        <v>2460</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2651</v>
      </c>
      <c r="C529" s="518"/>
      <c r="D529" s="1289" t="s">
        <v>2461</v>
      </c>
      <c r="E529" s="1289"/>
      <c r="F529" s="1289"/>
      <c r="I529" s="436" t="s">
        <v>2171</v>
      </c>
    </row>
    <row r="530" spans="1:9">
      <c r="A530" s="518"/>
      <c r="B530" s="518"/>
      <c r="C530" s="518"/>
      <c r="D530" s="1289"/>
      <c r="E530" s="1289"/>
      <c r="F530" s="1289"/>
    </row>
    <row r="531" spans="1:9" ht="12" customHeight="1">
      <c r="A531" s="481"/>
      <c r="B531" s="481"/>
      <c r="C531" s="522"/>
      <c r="D531" s="481"/>
      <c r="F531" s="483"/>
    </row>
    <row r="532" spans="1:9">
      <c r="A532" s="1277" t="s">
        <v>1117</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1118</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1175</v>
      </c>
      <c r="E539" s="1290"/>
      <c r="F539" s="1290"/>
    </row>
    <row r="540" spans="1:9">
      <c r="C540" s="522"/>
      <c r="D540" s="481"/>
      <c r="E540" s="481"/>
      <c r="F540" s="481"/>
    </row>
    <row r="541" spans="1:9" ht="13.7" customHeight="1">
      <c r="A541" s="519"/>
      <c r="B541" s="520" t="s">
        <v>2733</v>
      </c>
      <c r="C541" s="522"/>
      <c r="D541" s="1290" t="s">
        <v>913</v>
      </c>
      <c r="E541" s="1290"/>
      <c r="F541" s="1290"/>
      <c r="I541" s="436" t="s">
        <v>2221</v>
      </c>
    </row>
    <row r="542" spans="1:9" ht="13.7" customHeight="1">
      <c r="A542" s="522"/>
      <c r="B542" s="522"/>
      <c r="C542" s="522"/>
      <c r="D542" s="481"/>
    </row>
    <row r="543" spans="1:9" ht="14.25">
      <c r="A543" s="519"/>
      <c r="B543" s="520" t="s">
        <v>2733</v>
      </c>
      <c r="C543" s="522"/>
      <c r="D543" s="1289" t="s">
        <v>1176</v>
      </c>
      <c r="E543" s="1289"/>
      <c r="F543" s="1289"/>
      <c r="I543" s="436" t="s">
        <v>2221</v>
      </c>
    </row>
    <row r="544" spans="1:9">
      <c r="A544" s="522"/>
      <c r="B544" s="522"/>
      <c r="C544" s="522"/>
      <c r="D544" s="1289"/>
      <c r="E544" s="1289"/>
      <c r="F544" s="1289"/>
    </row>
    <row r="545" spans="1:9">
      <c r="A545" s="522"/>
      <c r="B545" s="522"/>
      <c r="C545" s="522"/>
      <c r="D545" s="481"/>
      <c r="E545" s="481"/>
      <c r="F545" s="481"/>
    </row>
    <row r="546" spans="1:9" ht="14.25">
      <c r="A546" s="519"/>
      <c r="B546" s="520" t="s">
        <v>2733</v>
      </c>
      <c r="C546" s="522"/>
      <c r="D546" s="1289" t="s">
        <v>1177</v>
      </c>
      <c r="E546" s="1289"/>
      <c r="F546" s="1289"/>
      <c r="I546" s="436" t="s">
        <v>2172</v>
      </c>
    </row>
    <row r="547" spans="1:9">
      <c r="A547" s="522"/>
      <c r="B547" s="522"/>
      <c r="C547" s="522"/>
      <c r="D547" s="1289"/>
      <c r="E547" s="1289"/>
      <c r="F547" s="1289"/>
    </row>
    <row r="548" spans="1:9">
      <c r="A548" s="522"/>
      <c r="B548" s="522"/>
      <c r="C548" s="522"/>
      <c r="D548" s="481"/>
      <c r="E548" s="481"/>
      <c r="F548" s="481"/>
    </row>
    <row r="549" spans="1:9" ht="14.25">
      <c r="A549" s="519"/>
      <c r="B549" s="520" t="s">
        <v>2733</v>
      </c>
      <c r="C549" s="522"/>
      <c r="D549" s="1289" t="s">
        <v>1178</v>
      </c>
      <c r="E549" s="1289"/>
      <c r="F549" s="1289"/>
      <c r="I549" s="436" t="s">
        <v>2173</v>
      </c>
    </row>
    <row r="550" spans="1:9">
      <c r="A550" s="522"/>
      <c r="B550" s="522"/>
      <c r="C550" s="522"/>
      <c r="D550" s="1289"/>
      <c r="E550" s="1289"/>
      <c r="F550" s="1289"/>
    </row>
    <row r="551" spans="1:9">
      <c r="A551" s="522"/>
      <c r="B551" s="522"/>
      <c r="C551" s="522"/>
      <c r="D551" s="481"/>
      <c r="E551" s="481"/>
      <c r="F551" s="481"/>
    </row>
    <row r="552" spans="1:9" ht="14.25">
      <c r="A552" s="519"/>
      <c r="B552" s="520" t="s">
        <v>2733</v>
      </c>
      <c r="C552" s="522"/>
      <c r="D552" s="1289" t="s">
        <v>1179</v>
      </c>
      <c r="E552" s="1289"/>
      <c r="F552" s="1289"/>
      <c r="I552" s="436" t="s">
        <v>2222</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2651</v>
      </c>
      <c r="C556" s="522"/>
      <c r="D556" s="1289" t="s">
        <v>1297</v>
      </c>
      <c r="E556" s="1289"/>
      <c r="F556" s="1289"/>
      <c r="I556" s="436" t="s">
        <v>2221</v>
      </c>
    </row>
    <row r="557" spans="1:9">
      <c r="A557" s="522"/>
      <c r="B557" s="522"/>
      <c r="C557" s="522"/>
      <c r="D557" s="1289"/>
      <c r="E557" s="1289"/>
      <c r="F557" s="1289"/>
    </row>
    <row r="558" spans="1:9">
      <c r="A558" s="522"/>
      <c r="B558" s="522"/>
      <c r="C558" s="522"/>
      <c r="D558" s="481"/>
      <c r="E558" s="481"/>
      <c r="F558" s="481"/>
    </row>
    <row r="559" spans="1:9" ht="14.25">
      <c r="A559" s="519"/>
      <c r="B559" s="520" t="s">
        <v>2733</v>
      </c>
      <c r="C559" s="522"/>
      <c r="D559" s="1289" t="s">
        <v>1181</v>
      </c>
      <c r="E559" s="1289"/>
      <c r="F559" s="1289"/>
      <c r="I559" s="436" t="s">
        <v>2221</v>
      </c>
    </row>
    <row r="560" spans="1:9">
      <c r="A560" s="522"/>
      <c r="B560" s="522"/>
      <c r="C560" s="522"/>
      <c r="D560" s="1289"/>
      <c r="E560" s="1289"/>
      <c r="F560" s="1289"/>
    </row>
    <row r="561" spans="1:9">
      <c r="A561" s="522"/>
      <c r="B561" s="522"/>
      <c r="C561" s="522"/>
      <c r="D561" s="481"/>
      <c r="E561" s="481"/>
      <c r="F561" s="481"/>
    </row>
    <row r="562" spans="1:9" ht="14.25">
      <c r="A562" s="519"/>
      <c r="B562" s="520" t="s">
        <v>2733</v>
      </c>
      <c r="C562" s="522"/>
      <c r="D562" s="1290" t="s">
        <v>1182</v>
      </c>
      <c r="E562" s="1290"/>
      <c r="F562" s="1290"/>
      <c r="I562" s="436" t="s">
        <v>2224</v>
      </c>
    </row>
    <row r="563" spans="1:9">
      <c r="A563" s="525"/>
      <c r="B563" s="525"/>
      <c r="C563" s="522"/>
      <c r="D563" s="1290" t="s">
        <v>2288</v>
      </c>
      <c r="E563" s="1290"/>
      <c r="F563" s="1290"/>
    </row>
    <row r="564" spans="1:9">
      <c r="A564" s="525"/>
      <c r="B564" s="525"/>
      <c r="C564" s="522"/>
      <c r="E564" s="96" t="s">
        <v>2287</v>
      </c>
      <c r="F564" s="436"/>
    </row>
    <row r="565" spans="1:9" ht="14.25">
      <c r="A565" s="519"/>
      <c r="B565" s="519"/>
      <c r="C565" s="522"/>
      <c r="E565" s="481"/>
      <c r="F565" s="481"/>
    </row>
    <row r="566" spans="1:9" ht="14.25">
      <c r="A566" s="519"/>
      <c r="B566" s="520" t="s">
        <v>2733</v>
      </c>
      <c r="C566" s="522"/>
      <c r="D566" s="1290" t="s">
        <v>1184</v>
      </c>
      <c r="E566" s="1290"/>
      <c r="F566" s="1290"/>
      <c r="I566" s="436" t="s">
        <v>2174</v>
      </c>
    </row>
    <row r="567" spans="1:9">
      <c r="C567" s="522"/>
      <c r="D567" s="1289" t="s">
        <v>1185</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2733</v>
      </c>
      <c r="C571" s="522"/>
      <c r="D571" s="1289" t="s">
        <v>2462</v>
      </c>
      <c r="E571" s="1289"/>
      <c r="F571" s="1289"/>
      <c r="I571" s="436" t="s">
        <v>2175</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1119</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1135</v>
      </c>
      <c r="E579" s="1276"/>
      <c r="F579" s="1276"/>
    </row>
    <row r="580" spans="1:9">
      <c r="A580" s="434"/>
      <c r="B580" s="434"/>
      <c r="C580" s="518"/>
      <c r="D580" s="534"/>
      <c r="I580" s="436" t="s">
        <v>2176</v>
      </c>
    </row>
    <row r="581" spans="1:9">
      <c r="A581" s="518"/>
      <c r="B581" s="520" t="s">
        <v>2733</v>
      </c>
      <c r="D581" s="1276" t="s">
        <v>919</v>
      </c>
      <c r="E581" s="1276"/>
      <c r="F581" s="1276"/>
    </row>
    <row r="582" spans="1:9">
      <c r="A582" s="525"/>
      <c r="B582" s="525"/>
      <c r="D582" s="511"/>
    </row>
    <row r="583" spans="1:9">
      <c r="A583" s="525"/>
      <c r="B583" s="520" t="s">
        <v>2733</v>
      </c>
      <c r="D583" s="1276" t="s">
        <v>2463</v>
      </c>
      <c r="E583" s="1276"/>
      <c r="F583" s="1276"/>
      <c r="I583" s="436" t="s">
        <v>2178</v>
      </c>
    </row>
    <row r="584" spans="1:9">
      <c r="A584" s="525"/>
      <c r="B584" s="525"/>
      <c r="D584" s="1276"/>
      <c r="E584" s="1276"/>
      <c r="F584" s="1276"/>
      <c r="I584" s="436" t="s">
        <v>2177</v>
      </c>
    </row>
    <row r="585" spans="1:9">
      <c r="A585" s="525"/>
      <c r="B585" s="525"/>
      <c r="D585" s="1276"/>
      <c r="E585" s="1276"/>
      <c r="F585" s="1276"/>
    </row>
    <row r="586" spans="1:9">
      <c r="A586" s="525"/>
      <c r="B586" s="525"/>
      <c r="D586" s="1276"/>
      <c r="E586" s="1276"/>
      <c r="F586" s="1276"/>
    </row>
    <row r="587" spans="1:9">
      <c r="A587" s="525"/>
      <c r="B587" s="520" t="s">
        <v>2651</v>
      </c>
      <c r="D587" s="1276" t="s">
        <v>1137</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2733</v>
      </c>
      <c r="D592" s="1276" t="s">
        <v>2464</v>
      </c>
      <c r="E592" s="1276"/>
      <c r="F592" s="1276"/>
    </row>
    <row r="593" spans="1:9">
      <c r="A593" s="525"/>
      <c r="B593" s="525"/>
      <c r="D593" s="1276"/>
      <c r="E593" s="1276"/>
      <c r="F593" s="1276"/>
    </row>
    <row r="594" spans="1:9">
      <c r="A594" s="525"/>
      <c r="B594" s="525"/>
      <c r="D594" s="534"/>
    </row>
    <row r="595" spans="1:9">
      <c r="A595" s="525"/>
      <c r="B595" s="520" t="s">
        <v>2651</v>
      </c>
      <c r="D595" s="1276" t="s">
        <v>1139</v>
      </c>
      <c r="E595" s="1276"/>
      <c r="F595" s="1276"/>
      <c r="I595" s="436" t="s">
        <v>2225</v>
      </c>
    </row>
    <row r="596" spans="1:9">
      <c r="A596" s="525"/>
      <c r="B596" s="525"/>
      <c r="D596" s="1276"/>
      <c r="E596" s="1276"/>
      <c r="F596" s="1276"/>
    </row>
    <row r="597" spans="1:9" ht="14.25">
      <c r="A597" s="519"/>
      <c r="B597" s="519"/>
      <c r="D597" s="534"/>
    </row>
    <row r="598" spans="1:9">
      <c r="A598" s="1277" t="s">
        <v>1120</v>
      </c>
      <c r="B598" s="1277"/>
      <c r="C598" s="1277"/>
      <c r="D598" s="1277"/>
      <c r="E598" s="1277"/>
      <c r="F598" s="1277"/>
      <c r="G598" s="1277"/>
      <c r="H598" s="1071"/>
      <c r="I598" s="1072"/>
    </row>
    <row r="599" spans="1:9"/>
    <row r="600" spans="1:9">
      <c r="D600" s="1288" t="s">
        <v>1220</v>
      </c>
      <c r="E600" s="1288"/>
      <c r="F600" s="1288"/>
    </row>
    <row r="601" spans="1:9">
      <c r="D601" s="1311" t="s">
        <v>1221</v>
      </c>
      <c r="E601" s="1311"/>
      <c r="F601" s="1311"/>
    </row>
    <row r="602" spans="1:9">
      <c r="D602" s="479"/>
    </row>
    <row r="603" spans="1:9" ht="14.25" customHeight="1">
      <c r="A603" s="519"/>
      <c r="B603" s="520" t="s">
        <v>2733</v>
      </c>
      <c r="D603" s="1331" t="s">
        <v>2289</v>
      </c>
      <c r="E603" s="1331"/>
      <c r="F603" s="1331"/>
      <c r="I603" s="436" t="s">
        <v>2206</v>
      </c>
    </row>
    <row r="604" spans="1:9">
      <c r="D604" s="1331"/>
      <c r="E604" s="1331"/>
      <c r="F604" s="1331"/>
    </row>
    <row r="605" spans="1:9">
      <c r="D605" s="417"/>
      <c r="E605" s="1080" t="s">
        <v>2290</v>
      </c>
      <c r="F605" s="417"/>
    </row>
    <row r="606" spans="1:9"/>
    <row r="607" spans="1:9">
      <c r="A607" s="1277" t="s">
        <v>1121</v>
      </c>
      <c r="B607" s="1277"/>
      <c r="C607" s="1277"/>
      <c r="D607" s="1277"/>
      <c r="E607" s="1277"/>
      <c r="F607" s="1277"/>
      <c r="G607" s="1277"/>
      <c r="H607" s="1071"/>
      <c r="I607" s="1072"/>
    </row>
    <row r="608" spans="1:9">
      <c r="A608" s="481"/>
      <c r="B608" s="481"/>
    </row>
    <row r="609" spans="1:9">
      <c r="A609" s="517"/>
      <c r="B609" s="517"/>
      <c r="C609" s="517"/>
      <c r="D609" s="1312" t="s">
        <v>1223</v>
      </c>
      <c r="E609" s="1312"/>
      <c r="F609" s="1312"/>
    </row>
    <row r="610" spans="1:9">
      <c r="A610" s="517"/>
      <c r="B610" s="517"/>
      <c r="C610" s="517"/>
      <c r="D610" s="1312"/>
      <c r="E610" s="1312"/>
      <c r="F610" s="1312"/>
    </row>
    <row r="611" spans="1:9">
      <c r="C611" s="518"/>
      <c r="D611" s="1311" t="s">
        <v>1224</v>
      </c>
      <c r="E611" s="1311"/>
      <c r="F611" s="1311"/>
    </row>
    <row r="612" spans="1:9">
      <c r="C612" s="518"/>
      <c r="D612" s="479"/>
      <c r="E612" s="479"/>
      <c r="F612" s="479"/>
    </row>
    <row r="613" spans="1:9" ht="12.75" customHeight="1">
      <c r="A613" s="525"/>
      <c r="B613" s="520" t="s">
        <v>2733</v>
      </c>
      <c r="D613" s="1287" t="s">
        <v>1225</v>
      </c>
      <c r="E613" s="1287"/>
      <c r="F613" s="1287"/>
      <c r="I613" s="436" t="s">
        <v>2226</v>
      </c>
    </row>
    <row r="614" spans="1:9">
      <c r="D614" s="1287"/>
      <c r="E614" s="1287"/>
      <c r="F614" s="1287"/>
    </row>
    <row r="615" spans="1:9"/>
    <row r="616" spans="1:9">
      <c r="B616" s="520" t="s">
        <v>2733</v>
      </c>
      <c r="D616" s="1287" t="s">
        <v>1226</v>
      </c>
      <c r="E616" s="1287"/>
      <c r="F616" s="1287"/>
      <c r="I616" s="436" t="s">
        <v>2179</v>
      </c>
    </row>
    <row r="617" spans="1:9">
      <c r="C617" s="535"/>
      <c r="D617" s="1287"/>
      <c r="E617" s="1287"/>
      <c r="F617" s="1287"/>
    </row>
    <row r="618" spans="1:9">
      <c r="C618" s="535"/>
    </row>
    <row r="619" spans="1:9">
      <c r="B619" s="520" t="s">
        <v>2651</v>
      </c>
      <c r="C619" s="535"/>
      <c r="D619" s="1287" t="s">
        <v>1227</v>
      </c>
      <c r="E619" s="1287"/>
      <c r="F619" s="1287"/>
      <c r="I619" s="436" t="s">
        <v>2227</v>
      </c>
    </row>
    <row r="620" spans="1:9">
      <c r="C620" s="535"/>
      <c r="D620" s="1287"/>
      <c r="E620" s="1287"/>
      <c r="F620" s="1287"/>
      <c r="I620" s="1068" t="s">
        <v>2228</v>
      </c>
    </row>
    <row r="621" spans="1:9">
      <c r="C621" s="535"/>
    </row>
    <row r="622" spans="1:9">
      <c r="A622" s="1277" t="s">
        <v>1122</v>
      </c>
      <c r="B622" s="1277"/>
      <c r="C622" s="1277"/>
      <c r="D622" s="1277"/>
      <c r="E622" s="1277"/>
      <c r="F622" s="1277"/>
      <c r="G622" s="1277"/>
      <c r="H622" s="1071"/>
      <c r="I622" s="1072"/>
    </row>
    <row r="623" spans="1:9">
      <c r="A623" s="517"/>
      <c r="B623" s="517"/>
      <c r="C623" s="517"/>
    </row>
    <row r="624" spans="1:9">
      <c r="C624" s="525"/>
      <c r="D624" s="1288" t="s">
        <v>1228</v>
      </c>
      <c r="E624" s="1288"/>
      <c r="F624" s="1288"/>
    </row>
    <row r="625" spans="1:9">
      <c r="A625" s="525"/>
      <c r="B625" s="525"/>
      <c r="D625" s="436"/>
    </row>
    <row r="626" spans="1:9" ht="14.25" customHeight="1">
      <c r="A626" s="519"/>
      <c r="B626" s="520" t="s">
        <v>2733</v>
      </c>
      <c r="D626" s="1331" t="s">
        <v>2465</v>
      </c>
      <c r="E626" s="1331"/>
      <c r="F626" s="1331"/>
      <c r="I626" s="436" t="s">
        <v>2207</v>
      </c>
    </row>
    <row r="627" spans="1:9">
      <c r="D627" s="1331"/>
      <c r="E627" s="1331"/>
      <c r="F627" s="1331"/>
    </row>
    <row r="628" spans="1:9">
      <c r="D628" s="417"/>
      <c r="E628" s="1080" t="s">
        <v>2292</v>
      </c>
      <c r="F628" s="417"/>
    </row>
    <row r="629" spans="1:9">
      <c r="D629" s="1289" t="s">
        <v>2291</v>
      </c>
      <c r="E629" s="1289"/>
      <c r="F629" s="1289"/>
    </row>
    <row r="630" spans="1:9">
      <c r="D630" s="1289"/>
      <c r="E630" s="1289"/>
      <c r="F630" s="1289"/>
    </row>
    <row r="631" spans="1:9">
      <c r="D631" s="1289"/>
      <c r="E631" s="1289"/>
      <c r="F631" s="1289"/>
    </row>
    <row r="632" spans="1:9">
      <c r="D632" s="480"/>
      <c r="E632" s="480"/>
      <c r="F632" s="480"/>
    </row>
    <row r="633" spans="1:9" ht="14.25">
      <c r="A633" s="519"/>
      <c r="B633" s="520" t="s">
        <v>2651</v>
      </c>
      <c r="D633" s="1289" t="s">
        <v>1230</v>
      </c>
      <c r="E633" s="1289"/>
      <c r="F633" s="1289"/>
      <c r="I633" s="436" t="s">
        <v>2229</v>
      </c>
    </row>
    <row r="634" spans="1:9">
      <c r="A634" s="522"/>
      <c r="B634" s="522"/>
      <c r="C634" s="522"/>
      <c r="D634" s="1289"/>
      <c r="E634" s="1289"/>
      <c r="F634" s="1289"/>
    </row>
    <row r="635" spans="1:9">
      <c r="A635" s="522"/>
      <c r="B635" s="522"/>
      <c r="C635" s="522"/>
      <c r="D635" s="481"/>
      <c r="E635" s="481"/>
      <c r="F635" s="481"/>
    </row>
    <row r="636" spans="1:9" ht="14.25">
      <c r="A636" s="519"/>
      <c r="B636" s="520" t="s">
        <v>2651</v>
      </c>
      <c r="C636" s="522"/>
      <c r="D636" s="1289" t="s">
        <v>1372</v>
      </c>
      <c r="E636" s="1289"/>
      <c r="F636" s="1289"/>
      <c r="I636" s="436" t="s">
        <v>2180</v>
      </c>
    </row>
    <row r="637" spans="1:9" ht="14.25">
      <c r="A637" s="519"/>
      <c r="B637" s="519"/>
      <c r="C637" s="522"/>
      <c r="D637" s="1289"/>
      <c r="E637" s="1289"/>
      <c r="F637" s="1289"/>
    </row>
    <row r="638" spans="1:9" ht="14.25">
      <c r="A638" s="519"/>
      <c r="B638" s="519"/>
      <c r="C638" s="522"/>
      <c r="D638" s="1289"/>
      <c r="E638" s="1289"/>
      <c r="F638" s="1289"/>
    </row>
    <row r="639" spans="1:9">
      <c r="A639" s="522"/>
      <c r="B639" s="520" t="s">
        <v>2651</v>
      </c>
      <c r="C639" s="522"/>
      <c r="D639" s="1290" t="s">
        <v>1232</v>
      </c>
      <c r="E639" s="1290"/>
      <c r="F639" s="1290"/>
      <c r="I639" s="436" t="s">
        <v>2180</v>
      </c>
    </row>
    <row r="640" spans="1:9">
      <c r="A640" s="522"/>
      <c r="B640" s="522"/>
      <c r="C640" s="522"/>
      <c r="D640" s="481"/>
      <c r="E640" s="481"/>
      <c r="F640" s="481"/>
    </row>
    <row r="641" spans="1:9">
      <c r="A641" s="1277" t="s">
        <v>1123</v>
      </c>
      <c r="B641" s="1277"/>
      <c r="C641" s="1277"/>
      <c r="D641" s="1277"/>
      <c r="E641" s="1277"/>
      <c r="F641" s="1277"/>
      <c r="G641" s="1277"/>
      <c r="H641" s="1071"/>
      <c r="I641" s="1072"/>
    </row>
    <row r="642" spans="1:9">
      <c r="A642" s="481"/>
      <c r="B642" s="481"/>
      <c r="C642" s="522"/>
      <c r="D642" s="481"/>
      <c r="E642" s="481"/>
      <c r="F642" s="481"/>
    </row>
    <row r="643" spans="1:9">
      <c r="C643" s="517"/>
      <c r="D643" s="1288" t="s">
        <v>1282</v>
      </c>
      <c r="E643" s="1288"/>
      <c r="F643" s="1288"/>
    </row>
    <row r="644" spans="1:9">
      <c r="A644" s="518"/>
      <c r="B644" s="518"/>
      <c r="C644" s="518"/>
      <c r="D644" s="1290" t="s">
        <v>1283</v>
      </c>
      <c r="E644" s="1290"/>
      <c r="F644" s="1290"/>
    </row>
    <row r="645" spans="1:9">
      <c r="A645" s="518"/>
      <c r="B645" s="518"/>
      <c r="C645" s="518"/>
      <c r="D645" s="481"/>
      <c r="E645" s="481"/>
      <c r="F645" s="481"/>
    </row>
    <row r="646" spans="1:9" ht="12.75" customHeight="1">
      <c r="B646" s="520" t="s">
        <v>2651</v>
      </c>
      <c r="C646" s="522"/>
      <c r="D646" s="1289" t="s">
        <v>1445</v>
      </c>
      <c r="E646" s="1289"/>
      <c r="F646" s="1289"/>
      <c r="I646" s="436" t="s">
        <v>2232</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2651</v>
      </c>
      <c r="C651" s="522"/>
      <c r="D651" s="1289" t="s">
        <v>1447</v>
      </c>
      <c r="E651" s="1289"/>
      <c r="F651" s="1289"/>
      <c r="I651" s="436" t="s">
        <v>2232</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2651</v>
      </c>
      <c r="C657" s="522"/>
      <c r="D657" s="1289" t="s">
        <v>1446</v>
      </c>
      <c r="E657" s="1289"/>
      <c r="F657" s="1289"/>
      <c r="I657" s="436" t="s">
        <v>2232</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2651</v>
      </c>
      <c r="C662" s="522"/>
      <c r="D662" s="1289" t="s">
        <v>2466</v>
      </c>
      <c r="E662" s="1289"/>
      <c r="F662" s="1289"/>
      <c r="I662" s="436" t="s">
        <v>2232</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1124</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1160</v>
      </c>
      <c r="E676" s="1290"/>
      <c r="F676" s="1290"/>
      <c r="H676" s="536"/>
      <c r="I676" s="1065"/>
      <c r="J676" s="536"/>
      <c r="K676" s="536"/>
    </row>
    <row r="677" spans="1:11">
      <c r="A677" s="518"/>
      <c r="B677" s="518"/>
      <c r="C677" s="518"/>
      <c r="H677" s="536"/>
      <c r="I677" s="1065"/>
      <c r="J677" s="536"/>
      <c r="K677" s="536"/>
    </row>
    <row r="678" spans="1:11" ht="14.25">
      <c r="A678" s="519"/>
      <c r="B678" s="520" t="s">
        <v>2733</v>
      </c>
      <c r="C678" s="518"/>
      <c r="D678" s="1290" t="s">
        <v>915</v>
      </c>
      <c r="E678" s="1290"/>
      <c r="F678" s="1290"/>
      <c r="H678" s="536"/>
      <c r="I678" s="1065" t="s">
        <v>2208</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2651</v>
      </c>
      <c r="C683" s="518"/>
      <c r="D683" s="1289" t="s">
        <v>2467</v>
      </c>
      <c r="E683" s="1289"/>
      <c r="F683" s="1289"/>
      <c r="H683" s="536"/>
      <c r="I683" s="1065" t="s">
        <v>2230</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2209</v>
      </c>
      <c r="J686" s="536"/>
      <c r="K686" s="536"/>
    </row>
    <row r="687" spans="1:11" ht="14.25">
      <c r="A687" s="519"/>
      <c r="B687" s="520" t="s">
        <v>2733</v>
      </c>
      <c r="C687" s="518"/>
      <c r="D687" s="1290" t="s">
        <v>954</v>
      </c>
      <c r="E687" s="1290"/>
      <c r="F687" s="1290"/>
      <c r="H687" s="536"/>
      <c r="I687" s="1065"/>
      <c r="J687" s="536"/>
      <c r="K687" s="536"/>
    </row>
    <row r="688" spans="1:11" ht="14.25">
      <c r="A688" s="519"/>
      <c r="B688" s="519"/>
      <c r="C688" s="518"/>
      <c r="D688" s="1290" t="s">
        <v>926</v>
      </c>
      <c r="E688" s="1290"/>
      <c r="F688" s="1290"/>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2651</v>
      </c>
      <c r="C691" s="518"/>
      <c r="D691" s="1289" t="s">
        <v>1173</v>
      </c>
      <c r="E691" s="1289"/>
      <c r="F691" s="1289"/>
      <c r="H691" s="536"/>
      <c r="I691" s="1065" t="s">
        <v>2181</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2651</v>
      </c>
      <c r="C698" s="518"/>
      <c r="D698" s="1289" t="s">
        <v>1344</v>
      </c>
      <c r="E698" s="1289"/>
      <c r="F698" s="1289"/>
      <c r="H698" s="536"/>
      <c r="I698" s="1065" t="s">
        <v>2181</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2651</v>
      </c>
      <c r="C701" s="518"/>
      <c r="D701" s="1289" t="s">
        <v>1164</v>
      </c>
      <c r="E701" s="1289"/>
      <c r="F701" s="1289"/>
      <c r="H701" s="536"/>
      <c r="I701" s="1065" t="s">
        <v>2181</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2651</v>
      </c>
      <c r="C714" s="518"/>
      <c r="D714" s="1289" t="s">
        <v>1171</v>
      </c>
      <c r="E714" s="1289"/>
      <c r="F714" s="1289"/>
      <c r="H714" s="536"/>
      <c r="I714" s="1065" t="s">
        <v>2231</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2651</v>
      </c>
      <c r="C717" s="518"/>
      <c r="D717" s="1289" t="s">
        <v>1165</v>
      </c>
      <c r="E717" s="1289"/>
      <c r="F717" s="1289"/>
      <c r="H717" s="536"/>
      <c r="I717" s="1065" t="s">
        <v>2231</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2651</v>
      </c>
      <c r="C721" s="518"/>
      <c r="D721" s="1289" t="s">
        <v>1166</v>
      </c>
      <c r="E721" s="1289"/>
      <c r="F721" s="1289"/>
      <c r="H721" s="536"/>
      <c r="I721" s="1065" t="s">
        <v>2231</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2651</v>
      </c>
      <c r="C725" s="518"/>
      <c r="D725" s="1289" t="s">
        <v>1167</v>
      </c>
      <c r="E725" s="1289"/>
      <c r="F725" s="1289"/>
      <c r="H725" s="536"/>
      <c r="I725" s="1065" t="s">
        <v>2182</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2651</v>
      </c>
      <c r="C730" s="518"/>
      <c r="D730" s="1289" t="s">
        <v>2468</v>
      </c>
      <c r="E730" s="1289"/>
      <c r="F730" s="1289"/>
      <c r="H730" s="536"/>
      <c r="I730" s="1065" t="s">
        <v>2198</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2477</v>
      </c>
      <c r="E737" s="1306"/>
      <c r="F737" s="1306"/>
      <c r="H737" s="536"/>
      <c r="I737" s="1065"/>
      <c r="J737" s="536"/>
      <c r="K737" s="536"/>
    </row>
    <row r="738" spans="1:11">
      <c r="A738" s="518"/>
      <c r="B738" s="518"/>
      <c r="C738" s="518"/>
      <c r="D738" s="370"/>
      <c r="H738" s="536"/>
      <c r="I738" s="1065"/>
      <c r="J738" s="536"/>
      <c r="K738" s="536"/>
    </row>
    <row r="739" spans="1:11">
      <c r="A739" s="1308" t="s">
        <v>1125</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1141</v>
      </c>
      <c r="E741" s="1291"/>
      <c r="F741" s="1291"/>
      <c r="G741" s="536"/>
      <c r="H741" s="536"/>
      <c r="I741" s="1065"/>
      <c r="J741" s="536"/>
      <c r="K741" s="536"/>
    </row>
    <row r="742" spans="1:11">
      <c r="A742" s="518"/>
      <c r="B742" s="518"/>
      <c r="C742" s="518"/>
      <c r="D742" s="1292" t="s">
        <v>1142</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2733</v>
      </c>
      <c r="D744" s="1289" t="s">
        <v>1143</v>
      </c>
      <c r="E744" s="1289"/>
      <c r="F744" s="1289"/>
      <c r="G744" s="536"/>
      <c r="H744" s="536"/>
      <c r="I744" s="1065" t="s">
        <v>2183</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2651</v>
      </c>
      <c r="C751" s="539"/>
      <c r="D751" s="1289" t="s">
        <v>1389</v>
      </c>
      <c r="E751" s="1289"/>
      <c r="F751" s="1289"/>
      <c r="I751" s="1066" t="s">
        <v>2183</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2651</v>
      </c>
      <c r="C756" s="539"/>
      <c r="D756" s="1287" t="s">
        <v>1390</v>
      </c>
      <c r="E756" s="1287"/>
      <c r="F756" s="1287"/>
      <c r="I756" s="1066" t="s">
        <v>2184</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2651</v>
      </c>
      <c r="D760" s="1289" t="s">
        <v>1341</v>
      </c>
      <c r="E760" s="1289"/>
      <c r="F760" s="1289"/>
      <c r="G760" s="536"/>
      <c r="H760" s="536"/>
      <c r="I760" s="1065" t="s">
        <v>2183</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2651</v>
      </c>
      <c r="D763" s="1289" t="s">
        <v>1358</v>
      </c>
      <c r="E763" s="1289"/>
      <c r="F763" s="1289"/>
      <c r="G763" s="536"/>
      <c r="H763" s="536"/>
      <c r="I763" s="1065" t="s">
        <v>2183</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2063</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2117</v>
      </c>
      <c r="E769" s="1342"/>
      <c r="F769" s="1342"/>
      <c r="G769" s="3"/>
    </row>
    <row r="770" spans="1:9">
      <c r="A770" s="57"/>
      <c r="B770" s="57"/>
      <c r="C770" s="386"/>
      <c r="D770" s="1275" t="s">
        <v>2016</v>
      </c>
      <c r="E770" s="1275"/>
      <c r="F770" s="1275"/>
      <c r="G770" s="3"/>
    </row>
    <row r="771" spans="1:9">
      <c r="A771" s="57"/>
      <c r="B771" s="57"/>
      <c r="C771" s="386"/>
      <c r="D771" s="482"/>
      <c r="E771" s="482"/>
      <c r="F771" s="482"/>
      <c r="G771" s="3"/>
    </row>
    <row r="772" spans="1:9">
      <c r="A772" s="57"/>
      <c r="B772" s="520" t="s">
        <v>2733</v>
      </c>
      <c r="C772" s="386"/>
      <c r="D772" s="1302" t="s">
        <v>2017</v>
      </c>
      <c r="E772" s="1302"/>
      <c r="F772" s="1302"/>
      <c r="G772" s="3"/>
      <c r="I772" s="1065" t="s">
        <v>2233</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2651</v>
      </c>
      <c r="C776" s="172"/>
      <c r="D776" s="1302" t="s">
        <v>2018</v>
      </c>
      <c r="E776" s="1302"/>
      <c r="F776" s="1302"/>
      <c r="G776" s="3"/>
      <c r="I776" s="1065" t="s">
        <v>2233</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2651</v>
      </c>
      <c r="C780" s="1026"/>
      <c r="D780" s="1302" t="s">
        <v>2019</v>
      </c>
      <c r="E780" s="1302"/>
      <c r="F780" s="1302"/>
      <c r="G780" s="1025"/>
      <c r="I780" s="1065" t="s">
        <v>2233</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2651</v>
      </c>
      <c r="C784" s="1026"/>
      <c r="D784" s="1302" t="s">
        <v>2020</v>
      </c>
      <c r="E784" s="1302"/>
      <c r="F784" s="1302"/>
      <c r="G784" s="1025"/>
      <c r="I784" s="1065" t="s">
        <v>2233</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2064</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2651</v>
      </c>
      <c r="C794" s="1026"/>
      <c r="D794" s="1302" t="s">
        <v>2021</v>
      </c>
      <c r="E794" s="1302"/>
      <c r="F794" s="1302"/>
      <c r="G794" s="1025"/>
      <c r="I794" s="1065" t="s">
        <v>2233</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2651</v>
      </c>
      <c r="C801" s="1026"/>
      <c r="D801" s="1302" t="s">
        <v>2022</v>
      </c>
      <c r="E801" s="1302"/>
      <c r="F801" s="1302"/>
      <c r="G801" s="1025"/>
      <c r="I801" s="1065" t="s">
        <v>2233</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2651</v>
      </c>
      <c r="C808" s="1026"/>
      <c r="D808" s="1299" t="s">
        <v>2023</v>
      </c>
      <c r="E808" s="1299"/>
      <c r="F808" s="1299"/>
      <c r="G808" s="1025"/>
      <c r="I808" s="1065" t="s">
        <v>2233</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2024</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2065</v>
      </c>
      <c r="E817" s="1295"/>
      <c r="F817" s="1295"/>
      <c r="G817" s="3"/>
    </row>
    <row r="818" spans="1:9" ht="14.25" customHeight="1">
      <c r="A818" s="176"/>
      <c r="B818" s="176"/>
      <c r="C818" s="386"/>
      <c r="D818" s="1262" t="s">
        <v>2025</v>
      </c>
      <c r="E818" s="1262"/>
      <c r="F818" s="1262"/>
      <c r="G818" s="3"/>
    </row>
    <row r="819" spans="1:9" ht="12.75" customHeight="1">
      <c r="A819" s="176"/>
      <c r="B819" s="176"/>
      <c r="C819" s="386"/>
      <c r="D819" s="475"/>
      <c r="E819" s="475"/>
      <c r="F819" s="475"/>
      <c r="G819" s="3"/>
    </row>
    <row r="820" spans="1:9" ht="12.75" customHeight="1">
      <c r="A820" s="386"/>
      <c r="B820" s="520" t="s">
        <v>2733</v>
      </c>
      <c r="C820" s="1026"/>
      <c r="D820" s="1262" t="s">
        <v>2026</v>
      </c>
      <c r="E820" s="1262"/>
      <c r="F820" s="1262"/>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308</v>
      </c>
      <c r="C823" s="1026"/>
      <c r="D823" s="1330" t="s">
        <v>2478</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2733</v>
      </c>
      <c r="C834" s="1026"/>
      <c r="D834" s="1262" t="s">
        <v>2027</v>
      </c>
      <c r="E834" s="1262"/>
      <c r="F834" s="1262"/>
      <c r="G834" s="3"/>
      <c r="I834" s="436" t="s">
        <v>2219</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2651</v>
      </c>
      <c r="C838" s="1026"/>
      <c r="D838" s="1295" t="s">
        <v>2028</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2469</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2651</v>
      </c>
      <c r="C847" s="1026"/>
      <c r="D847" s="1262" t="s">
        <v>2029</v>
      </c>
      <c r="E847" s="1262"/>
      <c r="F847" s="1262"/>
      <c r="G847" s="3"/>
      <c r="I847" s="436" t="s">
        <v>2202</v>
      </c>
    </row>
    <row r="848" spans="1:9" ht="12.75" customHeight="1">
      <c r="A848" s="176"/>
      <c r="B848" s="176"/>
      <c r="C848" s="1026"/>
      <c r="D848" s="1262" t="s">
        <v>2030</v>
      </c>
      <c r="E848" s="1262"/>
      <c r="F848" s="1262"/>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2651</v>
      </c>
      <c r="C851" s="1026"/>
      <c r="D851" s="1262" t="s">
        <v>2031</v>
      </c>
      <c r="E851" s="1262"/>
      <c r="F851" s="1262"/>
      <c r="G851" s="3"/>
      <c r="I851" s="436" t="s">
        <v>2220</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2066</v>
      </c>
      <c r="E858" s="1278"/>
      <c r="F858" s="1278"/>
      <c r="G858" s="1025"/>
    </row>
    <row r="859" spans="1:9" ht="12.75" customHeight="1">
      <c r="A859" s="386"/>
      <c r="B859" s="386"/>
      <c r="C859" s="175"/>
      <c r="D859" s="1329" t="s">
        <v>2033</v>
      </c>
      <c r="E859" s="1329"/>
      <c r="F859" s="1329"/>
      <c r="G859" s="1025"/>
    </row>
    <row r="860" spans="1:9" ht="12.75" customHeight="1">
      <c r="A860" s="386"/>
      <c r="B860" s="386"/>
      <c r="C860" s="175"/>
      <c r="D860" s="1032"/>
      <c r="E860" s="1032"/>
      <c r="F860" s="1032"/>
      <c r="G860" s="1025"/>
    </row>
    <row r="861" spans="1:9" ht="12.75" customHeight="1">
      <c r="A861" s="176"/>
      <c r="B861" s="520" t="s">
        <v>2733</v>
      </c>
      <c r="C861" s="386"/>
      <c r="D861" s="1273" t="s">
        <v>2034</v>
      </c>
      <c r="E861" s="1273"/>
      <c r="F861" s="1273"/>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2733</v>
      </c>
      <c r="C864" s="386"/>
      <c r="D864" s="1262" t="s">
        <v>2035</v>
      </c>
      <c r="E864" s="1280"/>
      <c r="F864" s="1280"/>
      <c r="G864" s="3"/>
      <c r="I864" s="436" t="s">
        <v>2220</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2651</v>
      </c>
      <c r="C867" s="386"/>
      <c r="D867" s="1327" t="s">
        <v>2036</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2469</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2651</v>
      </c>
      <c r="C876" s="386"/>
      <c r="D876" s="1305" t="s">
        <v>2029</v>
      </c>
      <c r="E876" s="1305"/>
      <c r="F876" s="1305"/>
      <c r="G876" s="1025"/>
      <c r="I876" s="436" t="s">
        <v>2202</v>
      </c>
    </row>
    <row r="877" spans="1:9" ht="12.75" customHeight="1">
      <c r="A877" s="176"/>
      <c r="B877" s="176"/>
      <c r="C877" s="386"/>
      <c r="D877" s="1305" t="s">
        <v>2030</v>
      </c>
      <c r="E877" s="1305"/>
      <c r="F877" s="1305"/>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2651</v>
      </c>
      <c r="C880" s="386"/>
      <c r="D880" s="1262" t="s">
        <v>2031</v>
      </c>
      <c r="E880" s="1262"/>
      <c r="F880" s="1262"/>
      <c r="G880" s="1025"/>
      <c r="I880" s="436" t="s">
        <v>2220</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2067</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2073</v>
      </c>
      <c r="E887" s="1301"/>
      <c r="F887" s="1301"/>
      <c r="G887" s="57"/>
    </row>
    <row r="888" spans="1:9" ht="12.75" customHeight="1">
      <c r="A888" s="57"/>
      <c r="B888" s="57"/>
      <c r="C888" s="57"/>
      <c r="D888" s="1018"/>
      <c r="E888" s="1018"/>
      <c r="F888" s="1018"/>
      <c r="G888" s="57"/>
    </row>
    <row r="889" spans="1:9" ht="12.75" customHeight="1">
      <c r="A889" s="57"/>
      <c r="B889" s="520" t="s">
        <v>2733</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1" t="s">
        <v>2068</v>
      </c>
      <c r="E891" s="1301"/>
      <c r="F891" s="1301"/>
      <c r="G891" s="1025"/>
    </row>
    <row r="892" spans="1:9" ht="12.75" customHeight="1">
      <c r="A892" s="172"/>
      <c r="B892" s="172"/>
      <c r="C892" s="172"/>
      <c r="D892" s="1273" t="s">
        <v>2037</v>
      </c>
      <c r="E892" s="1273"/>
      <c r="F892" s="1273"/>
      <c r="G892" s="1025"/>
    </row>
    <row r="893" spans="1:9" ht="12.75" customHeight="1">
      <c r="A893" s="1026"/>
      <c r="B893" s="1026"/>
      <c r="C893" s="1026"/>
      <c r="D893" s="2"/>
      <c r="E893" s="1025"/>
      <c r="F893" s="1025"/>
      <c r="G893" s="1025"/>
    </row>
    <row r="894" spans="1:9" ht="12.75" customHeight="1">
      <c r="A894" s="176"/>
      <c r="B894" s="520" t="s">
        <v>2733</v>
      </c>
      <c r="C894" s="386"/>
      <c r="D894" s="1262" t="s">
        <v>2041</v>
      </c>
      <c r="E894" s="1262"/>
      <c r="F894" s="1262"/>
      <c r="G894" s="3"/>
      <c r="I894" s="436" t="s">
        <v>2186</v>
      </c>
    </row>
    <row r="895" spans="1:9" ht="12.75" customHeight="1">
      <c r="A895" s="386"/>
      <c r="B895" s="386"/>
      <c r="C895" s="386"/>
      <c r="D895" s="1262"/>
      <c r="E895" s="1262"/>
      <c r="F895" s="1262"/>
      <c r="G895" s="3"/>
    </row>
    <row r="896" spans="1:9" ht="12.75" customHeight="1">
      <c r="A896" s="172"/>
      <c r="B896" s="172"/>
      <c r="C896" s="172"/>
      <c r="D896" s="1262" t="s">
        <v>2040</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2651</v>
      </c>
      <c r="C899" s="175"/>
      <c r="D899" s="1272" t="s">
        <v>2038</v>
      </c>
      <c r="E899" s="1272"/>
      <c r="F899" s="1272"/>
      <c r="G899" s="1025"/>
      <c r="I899" s="436" t="s">
        <v>2185</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2651</v>
      </c>
      <c r="C908" s="1026"/>
      <c r="D908" s="1262" t="s">
        <v>2042</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2651</v>
      </c>
      <c r="C911" s="1026"/>
      <c r="D911" s="1299" t="s">
        <v>2043</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2651</v>
      </c>
      <c r="C916" s="1026"/>
      <c r="D916" s="1273" t="s">
        <v>2470</v>
      </c>
      <c r="E916" s="1273"/>
      <c r="F916" s="1273"/>
      <c r="G916" s="1025"/>
    </row>
    <row r="917" spans="1:9" ht="12.75" customHeight="1">
      <c r="A917" s="1026"/>
      <c r="B917" s="1026"/>
      <c r="C917" s="1026"/>
      <c r="D917" s="118"/>
      <c r="E917" s="1025"/>
      <c r="F917" s="1025"/>
      <c r="G917" s="1025"/>
    </row>
    <row r="918" spans="1:9" ht="12.75" customHeight="1">
      <c r="A918" s="1026"/>
      <c r="B918" s="520" t="s">
        <v>2651</v>
      </c>
      <c r="C918" s="1026"/>
      <c r="D918" s="1273" t="s">
        <v>2471</v>
      </c>
      <c r="E918" s="1273"/>
      <c r="F918" s="1273"/>
      <c r="G918" s="1025"/>
    </row>
    <row r="919" spans="1:9" ht="12.75" customHeight="1">
      <c r="A919" s="175"/>
      <c r="B919" s="175"/>
      <c r="C919" s="175"/>
      <c r="D919" s="2"/>
      <c r="E919" s="3"/>
      <c r="F919" s="1025"/>
      <c r="G919" s="1025"/>
    </row>
    <row r="920" spans="1:9" ht="12.75" customHeight="1">
      <c r="A920" s="1034"/>
      <c r="B920" s="520" t="s">
        <v>2733</v>
      </c>
      <c r="C920" s="1035"/>
      <c r="D920" s="1272" t="s">
        <v>2039</v>
      </c>
      <c r="E920" s="1272"/>
      <c r="F920" s="1272"/>
      <c r="G920" s="1036"/>
      <c r="I920" s="436" t="s">
        <v>2235</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2733</v>
      </c>
      <c r="C930" s="175"/>
      <c r="D930" s="1328" t="s">
        <v>2237</v>
      </c>
      <c r="E930" s="1328"/>
      <c r="F930" s="1328"/>
      <c r="G930" s="1025"/>
      <c r="I930" s="436" t="s">
        <v>2235</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2651</v>
      </c>
      <c r="C938" s="175"/>
      <c r="D938" s="1271" t="s">
        <v>2565</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2651</v>
      </c>
      <c r="C945" s="1026"/>
      <c r="D945" s="1299" t="s">
        <v>2044</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2651</v>
      </c>
      <c r="C950" s="175"/>
      <c r="D950" s="1272" t="s">
        <v>2236</v>
      </c>
      <c r="E950" s="1272"/>
      <c r="F950" s="1272"/>
      <c r="G950" s="1025"/>
      <c r="I950" s="436" t="s">
        <v>2235</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2045</v>
      </c>
      <c r="E955" s="1278"/>
      <c r="F955" s="1278"/>
      <c r="G955" s="3"/>
    </row>
    <row r="956" spans="1:9" ht="12.75" customHeight="1">
      <c r="A956" s="176"/>
      <c r="B956" s="520" t="s">
        <v>2733</v>
      </c>
      <c r="C956" s="386"/>
      <c r="D956" s="1273" t="s">
        <v>2069</v>
      </c>
      <c r="E956" s="1273"/>
      <c r="F956" s="1273"/>
      <c r="G956" s="3"/>
      <c r="I956" s="436" t="s">
        <v>2235</v>
      </c>
    </row>
    <row r="957" spans="1:9" ht="12.75" customHeight="1">
      <c r="A957" s="386"/>
      <c r="B957" s="386"/>
      <c r="C957" s="386"/>
      <c r="D957" s="3"/>
      <c r="E957" s="3"/>
      <c r="F957" s="3"/>
      <c r="G957" s="3"/>
    </row>
    <row r="958" spans="1:9" ht="12.75" customHeight="1">
      <c r="A958" s="386"/>
      <c r="B958" s="386"/>
      <c r="C958" s="386"/>
      <c r="D958" s="1278" t="s">
        <v>2046</v>
      </c>
      <c r="E958" s="1278"/>
      <c r="F958" s="1278"/>
      <c r="G958"/>
    </row>
    <row r="959" spans="1:9" ht="12.75" customHeight="1">
      <c r="A959" s="176"/>
      <c r="B959" s="520" t="s">
        <v>2651</v>
      </c>
      <c r="C959" s="386"/>
      <c r="D959" s="1262" t="s">
        <v>2472</v>
      </c>
      <c r="E959" s="1262"/>
      <c r="F959" s="1262"/>
      <c r="G959"/>
      <c r="I959" s="436" t="s">
        <v>2235</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2047</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2070</v>
      </c>
      <c r="E977" s="1278"/>
      <c r="F977" s="1278"/>
      <c r="G977" s="3"/>
    </row>
    <row r="978" spans="1:9" ht="12.75" customHeight="1">
      <c r="A978" s="172"/>
      <c r="B978" s="172"/>
      <c r="C978" s="172"/>
      <c r="D978" s="1273" t="s">
        <v>2048</v>
      </c>
      <c r="E978" s="1273"/>
      <c r="F978" s="1273"/>
      <c r="G978" s="3"/>
    </row>
    <row r="979" spans="1:9" ht="12.75" customHeight="1">
      <c r="A979" s="172"/>
      <c r="B979" s="172"/>
      <c r="C979" s="172"/>
      <c r="D979" s="3"/>
      <c r="E979" s="3"/>
      <c r="F979" s="1025"/>
      <c r="G979"/>
    </row>
    <row r="980" spans="1:9" ht="12.75" customHeight="1">
      <c r="A980" s="386"/>
      <c r="B980" s="520" t="s">
        <v>2733</v>
      </c>
      <c r="C980" s="386"/>
      <c r="D980" s="1326" t="s">
        <v>2297</v>
      </c>
      <c r="E980" s="1326"/>
      <c r="F980" s="1326"/>
      <c r="G980"/>
      <c r="I980" s="436" t="s">
        <v>2215</v>
      </c>
    </row>
    <row r="981" spans="1:9" ht="12.75" customHeight="1">
      <c r="A981" s="386"/>
      <c r="B981" s="386"/>
      <c r="C981" s="386"/>
      <c r="D981" s="1326"/>
      <c r="E981" s="1326"/>
      <c r="F981" s="1326"/>
      <c r="G981"/>
    </row>
    <row r="982" spans="1:9" ht="12.75" customHeight="1">
      <c r="A982" s="386"/>
      <c r="B982" s="386"/>
      <c r="C982" s="386"/>
      <c r="D982" s="1082"/>
      <c r="E982" s="1080" t="s">
        <v>2298</v>
      </c>
      <c r="F982" s="1082"/>
      <c r="G982"/>
    </row>
    <row r="983" spans="1:9" ht="12.75" customHeight="1">
      <c r="A983" s="386"/>
      <c r="B983" s="386"/>
      <c r="C983" s="386"/>
      <c r="D983" s="1266" t="s">
        <v>2296</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2651</v>
      </c>
      <c r="C988" s="175"/>
      <c r="D988" s="1262" t="s">
        <v>2049</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2651</v>
      </c>
      <c r="C993" s="175"/>
      <c r="D993" s="1262" t="s">
        <v>2050</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2651</v>
      </c>
      <c r="C996" s="386"/>
      <c r="D996" s="1273" t="s">
        <v>2051</v>
      </c>
      <c r="E996" s="1273"/>
      <c r="F996" s="1273"/>
      <c r="G996"/>
    </row>
    <row r="997" spans="1:7" ht="12.75" customHeight="1">
      <c r="A997" s="386"/>
      <c r="B997" s="386"/>
      <c r="C997" s="386"/>
      <c r="D997" s="3"/>
      <c r="E997" s="3"/>
      <c r="F997" s="3"/>
      <c r="G997"/>
    </row>
    <row r="998" spans="1:7" ht="12.75" customHeight="1">
      <c r="A998" s="176"/>
      <c r="B998" s="520" t="s">
        <v>2651</v>
      </c>
      <c r="C998" s="386"/>
      <c r="D998" s="1273" t="s">
        <v>2052</v>
      </c>
      <c r="E998" s="1273"/>
      <c r="F998" s="1273"/>
      <c r="G998"/>
    </row>
    <row r="999" spans="1:7" ht="12.75" customHeight="1">
      <c r="A999" s="386"/>
      <c r="B999" s="386"/>
      <c r="C999" s="386"/>
      <c r="D999" s="118"/>
      <c r="E999" s="3"/>
      <c r="F999" s="3"/>
      <c r="G999"/>
    </row>
    <row r="1000" spans="1:7" ht="12.75" customHeight="1">
      <c r="A1000" s="176"/>
      <c r="B1000" s="520" t="s">
        <v>2733</v>
      </c>
      <c r="C1000" s="386"/>
      <c r="D1000" s="1273" t="s">
        <v>2053</v>
      </c>
      <c r="E1000" s="1273"/>
      <c r="F1000" s="1273"/>
      <c r="G1000"/>
    </row>
    <row r="1001" spans="1:7" ht="12.75" customHeight="1">
      <c r="A1001" s="386"/>
      <c r="B1001" s="386"/>
      <c r="C1001" s="386"/>
      <c r="D1001" s="118"/>
      <c r="E1001" s="3"/>
      <c r="F1001" s="3"/>
      <c r="G1001"/>
    </row>
    <row r="1002" spans="1:7" ht="12.75" customHeight="1">
      <c r="A1002" s="176"/>
      <c r="B1002" s="520" t="s">
        <v>2733</v>
      </c>
      <c r="C1002" s="386"/>
      <c r="D1002" s="1262" t="s">
        <v>2054</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2651</v>
      </c>
      <c r="C1005" s="1037"/>
      <c r="D1005" s="1302" t="s">
        <v>2055</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2651</v>
      </c>
      <c r="C1008" s="1037"/>
      <c r="D1008" s="1320" t="s">
        <v>2056</v>
      </c>
      <c r="E1008" s="1320"/>
      <c r="F1008" s="1320"/>
      <c r="G1008" s="1038"/>
    </row>
    <row r="1009" spans="1:9" ht="12.75" customHeight="1">
      <c r="A1009" s="1037"/>
      <c r="B1009" s="1037"/>
      <c r="C1009" s="1037"/>
      <c r="D1009" s="1021"/>
      <c r="E1009" s="1038"/>
      <c r="F1009" s="1038"/>
      <c r="G1009" s="1038"/>
    </row>
    <row r="1010" spans="1:9" ht="12.75" customHeight="1">
      <c r="A1010" s="176"/>
      <c r="B1010" s="520" t="s">
        <v>2651</v>
      </c>
      <c r="C1010" s="386"/>
      <c r="D1010" s="1273" t="s">
        <v>2057</v>
      </c>
      <c r="E1010" s="1273"/>
      <c r="F1010" s="1273"/>
      <c r="G1010" s="3"/>
    </row>
    <row r="1011" spans="1:9" ht="12.75" customHeight="1">
      <c r="A1011" s="176"/>
      <c r="B1011" s="176"/>
      <c r="C1011" s="386"/>
      <c r="D1011" s="118"/>
      <c r="E1011" s="3"/>
      <c r="F1011" s="3"/>
      <c r="G1011" s="3"/>
    </row>
    <row r="1012" spans="1:9" ht="12.75" customHeight="1">
      <c r="A1012" s="176"/>
      <c r="B1012" s="520" t="s">
        <v>2651</v>
      </c>
      <c r="C1012" s="386"/>
      <c r="D1012" s="1262" t="s">
        <v>2058</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2059</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2060</v>
      </c>
      <c r="E1017" s="1301"/>
      <c r="F1017" s="1301"/>
      <c r="G1017" s="3"/>
    </row>
    <row r="1018" spans="1:9" ht="12.75" customHeight="1">
      <c r="A1018" s="386"/>
      <c r="B1018" s="386"/>
      <c r="C1018" s="386"/>
      <c r="D1018" s="1320" t="s">
        <v>2061</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2075</v>
      </c>
      <c r="E1020" s="1301"/>
      <c r="F1020" s="1301"/>
      <c r="G1020" s="3"/>
      <c r="I1020" s="436" t="s">
        <v>2187</v>
      </c>
    </row>
    <row r="1021" spans="1:9" ht="12.75" customHeight="1">
      <c r="A1021" s="386"/>
      <c r="B1021" s="520" t="s">
        <v>308</v>
      </c>
      <c r="C1021" s="386"/>
      <c r="D1021" s="1320" t="s">
        <v>1429</v>
      </c>
      <c r="E1021" s="1320"/>
      <c r="F1021" s="1320"/>
      <c r="G1021" s="3"/>
    </row>
    <row r="1022" spans="1:9" ht="12.75" customHeight="1">
      <c r="A1022" s="386"/>
      <c r="B1022" s="176"/>
      <c r="C1022" s="386"/>
      <c r="D1022" s="1320" t="s">
        <v>2062</v>
      </c>
      <c r="E1022" s="1320"/>
      <c r="F1022" s="1320"/>
      <c r="G1022" s="3"/>
    </row>
    <row r="1023" spans="1:9" ht="12.75" customHeight="1">
      <c r="A1023" s="386"/>
      <c r="B1023" s="386"/>
      <c r="C1023" s="386"/>
      <c r="D1023" s="1320"/>
      <c r="E1023" s="1320"/>
      <c r="F1023" s="1320"/>
      <c r="G1023" s="3"/>
    </row>
    <row r="1024" spans="1:9" ht="12.75" customHeight="1">
      <c r="A1024" s="1307" t="s">
        <v>2071</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1430</v>
      </c>
      <c r="E1026" s="1309"/>
      <c r="F1026" s="1309"/>
      <c r="G1026" s="3"/>
    </row>
    <row r="1027" spans="1:9" ht="12.75" customHeight="1">
      <c r="A1027" s="118"/>
      <c r="B1027" s="520" t="s">
        <v>2733</v>
      </c>
      <c r="D1027" s="1311" t="s">
        <v>1429</v>
      </c>
      <c r="E1027" s="1311"/>
      <c r="F1027" s="1311"/>
      <c r="G1027" s="3"/>
    </row>
    <row r="1028" spans="1:9" ht="12.75" customHeight="1">
      <c r="A1028" s="118"/>
      <c r="B1028" s="434"/>
      <c r="D1028" s="1311" t="s">
        <v>2072</v>
      </c>
      <c r="E1028" s="1311"/>
      <c r="F1028" s="1311"/>
      <c r="G1028" s="3"/>
    </row>
    <row r="1029" spans="1:9" ht="12.75" customHeight="1">
      <c r="A1029" s="118"/>
      <c r="B1029" s="434"/>
      <c r="D1029" s="479"/>
      <c r="E1029" s="479"/>
      <c r="F1029" s="479"/>
      <c r="G1029" s="3"/>
    </row>
    <row r="1030" spans="1:9" ht="12.75" customHeight="1">
      <c r="A1030" s="118"/>
      <c r="B1030" s="118"/>
      <c r="C1030" s="386"/>
      <c r="D1030" s="1321" t="s">
        <v>1132</v>
      </c>
      <c r="E1030" s="1321"/>
      <c r="F1030" s="1321"/>
      <c r="G1030" s="3"/>
      <c r="I1030" s="436" t="s">
        <v>2216</v>
      </c>
    </row>
    <row r="1031" spans="1:9" ht="12.75" customHeight="1">
      <c r="A1031" s="346"/>
      <c r="B1031" s="346"/>
      <c r="C1031" s="346"/>
      <c r="D1031" s="1305" t="s">
        <v>1149</v>
      </c>
      <c r="E1031" s="1305"/>
      <c r="F1031" s="1305"/>
      <c r="G1031" s="98"/>
    </row>
    <row r="1032" spans="1:9" ht="12.75" customHeight="1">
      <c r="A1032" s="176"/>
      <c r="B1032" s="520" t="s">
        <v>2651</v>
      </c>
      <c r="C1032" s="386"/>
      <c r="D1032" s="1305" t="s">
        <v>1026</v>
      </c>
      <c r="E1032" s="1305"/>
      <c r="F1032" s="1305"/>
      <c r="G1032" s="3"/>
    </row>
    <row r="1033" spans="1:9" ht="12.75" customHeight="1">
      <c r="A1033" s="386"/>
      <c r="B1033" s="386"/>
      <c r="C1033" s="386"/>
      <c r="D1033" s="1080" t="s">
        <v>2299</v>
      </c>
      <c r="E1033" s="96"/>
      <c r="F1033" s="96"/>
      <c r="G1033" s="3"/>
    </row>
    <row r="1034" spans="1:9">
      <c r="A1034" s="434"/>
      <c r="B1034" s="434"/>
      <c r="C1034" s="434"/>
    </row>
    <row r="1035" spans="1:9">
      <c r="A1035" s="1307" t="s">
        <v>2092</v>
      </c>
      <c r="B1035" s="1307"/>
      <c r="C1035" s="1307"/>
      <c r="D1035" s="1307"/>
      <c r="E1035" s="1307"/>
      <c r="F1035" s="1307"/>
      <c r="G1035" s="1307"/>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2651</v>
      </c>
      <c r="C1040" s="434"/>
      <c r="D1040" s="1323" t="s">
        <v>2076</v>
      </c>
      <c r="E1040" s="1323"/>
      <c r="F1040" s="1323"/>
      <c r="I1040" s="436" t="s">
        <v>2188</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2733</v>
      </c>
      <c r="C1048" s="434"/>
      <c r="D1048" s="434" t="s">
        <v>2074</v>
      </c>
      <c r="I1048" s="436" t="s">
        <v>2189</v>
      </c>
    </row>
    <row r="1049" spans="1:9">
      <c r="A1049" s="434"/>
      <c r="B1049" s="434"/>
      <c r="C1049" s="434"/>
    </row>
    <row r="1050" spans="1:9">
      <c r="A1050" s="434"/>
      <c r="B1050" s="520" t="s">
        <v>2651</v>
      </c>
      <c r="C1050" s="434"/>
      <c r="D1050" s="1323" t="s">
        <v>2080</v>
      </c>
      <c r="E1050" s="1323"/>
      <c r="F1050" s="1323"/>
      <c r="I1050" s="436" t="s">
        <v>2190</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2081</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2733</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2651</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2651</v>
      </c>
      <c r="C1065" s="434"/>
      <c r="D1065" s="119" t="s">
        <v>2090</v>
      </c>
      <c r="I1065" s="436" t="s">
        <v>2193</v>
      </c>
    </row>
    <row r="1066" spans="1:9">
      <c r="A1066" s="434"/>
      <c r="B1066" s="434"/>
      <c r="C1066" s="434"/>
      <c r="D1066" s="1262" t="s">
        <v>2091</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2651</v>
      </c>
      <c r="C1073" s="434"/>
      <c r="D1073" s="1322" t="s">
        <v>2083</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2088</v>
      </c>
    </row>
    <row r="1079" spans="1:9">
      <c r="A1079" s="434"/>
      <c r="B1079" s="434"/>
      <c r="C1079" s="434"/>
    </row>
    <row r="1080" spans="1:9">
      <c r="A1080" s="1307" t="s">
        <v>2093</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2651</v>
      </c>
      <c r="C1083" s="434"/>
      <c r="D1083" s="1324" t="s">
        <v>2311</v>
      </c>
      <c r="E1083" s="1324"/>
      <c r="F1083" s="1324"/>
      <c r="I1083" s="436" t="s">
        <v>2195</v>
      </c>
    </row>
    <row r="1084" spans="1:9">
      <c r="A1084" s="434"/>
      <c r="B1084" s="434"/>
      <c r="C1084" s="434"/>
      <c r="D1084" s="1324"/>
      <c r="E1084" s="1324"/>
      <c r="F1084" s="1324"/>
    </row>
    <row r="1085" spans="1:9">
      <c r="A1085" s="434"/>
      <c r="B1085" s="434"/>
      <c r="C1085" s="434"/>
      <c r="D1085" s="1325" t="s">
        <v>2623</v>
      </c>
      <c r="E1085" s="1262"/>
      <c r="F1085" s="1262"/>
    </row>
    <row r="1086" spans="1:9">
      <c r="A1086" s="434"/>
      <c r="B1086" s="434"/>
      <c r="C1086" s="434"/>
      <c r="D1086" s="562"/>
    </row>
    <row r="1087" spans="1:9">
      <c r="A1087" s="434"/>
      <c r="B1087" s="520" t="s">
        <v>2651</v>
      </c>
      <c r="C1087" s="434"/>
      <c r="D1087" s="1322" t="s">
        <v>2094</v>
      </c>
      <c r="E1087" s="1322"/>
      <c r="F1087" s="1322"/>
      <c r="I1087" s="436" t="s">
        <v>2196</v>
      </c>
    </row>
    <row r="1088" spans="1:9">
      <c r="A1088" s="434"/>
      <c r="B1088" s="434"/>
      <c r="C1088" s="434"/>
      <c r="D1088" s="1322"/>
      <c r="E1088" s="1322"/>
      <c r="F1088" s="1322"/>
    </row>
    <row r="1089" spans="1:9">
      <c r="A1089" s="434"/>
      <c r="B1089" s="434"/>
      <c r="C1089" s="434"/>
      <c r="D1089" s="562"/>
    </row>
    <row r="1090" spans="1:9">
      <c r="A1090" s="434"/>
      <c r="B1090" s="520" t="s">
        <v>2651</v>
      </c>
      <c r="C1090" s="434"/>
      <c r="D1090" s="1322" t="s">
        <v>2240</v>
      </c>
      <c r="E1090" s="1322"/>
      <c r="F1090" s="1322"/>
      <c r="I1090" s="436" t="s">
        <v>2238</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2239</v>
      </c>
      <c r="I1096" s="434"/>
    </row>
    <row r="1097" spans="1:9">
      <c r="A1097" s="434"/>
      <c r="B1097" s="520" t="s">
        <v>2651</v>
      </c>
      <c r="C1097" s="434"/>
      <c r="D1097" s="1322" t="s">
        <v>2095</v>
      </c>
      <c r="E1097" s="1322"/>
      <c r="F1097" s="1322"/>
      <c r="I1097" s="436" t="s">
        <v>2197</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2733</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2651</v>
      </c>
      <c r="C1105" s="434"/>
      <c r="D1105" s="1262" t="s">
        <v>2243</v>
      </c>
      <c r="E1105" s="1262"/>
      <c r="F1105" s="1262"/>
      <c r="I1105" s="436" t="s">
        <v>2242</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518" zoomScaleNormal="100" zoomScaleSheetLayoutView="80" workbookViewId="0">
      <selection activeCell="AR544" sqref="AR544"/>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87" t="s">
        <v>101</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c r="AM8" s="935"/>
      <c r="AN8" s="935"/>
      <c r="AO8" s="935"/>
      <c r="AP8" s="935"/>
      <c r="AQ8" s="935"/>
      <c r="AR8" s="935"/>
      <c r="AS8" s="935"/>
      <c r="AT8" s="935"/>
      <c r="AU8" s="935"/>
      <c r="AV8" s="935"/>
      <c r="AW8" s="935"/>
      <c r="AX8" s="935"/>
      <c r="AY8" s="935"/>
    </row>
    <row r="9" spans="1:51" ht="12.95" customHeight="1">
      <c r="A9" s="1298" t="s">
        <v>2479</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2613</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1838</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68" t="s">
        <v>2621</v>
      </c>
      <c r="B12" s="1769"/>
      <c r="C12" s="1769"/>
      <c r="D12" s="1769"/>
      <c r="E12" s="1769"/>
      <c r="F12" s="1769"/>
      <c r="G12" s="1769"/>
      <c r="H12" s="1769"/>
      <c r="I12" s="1769"/>
      <c r="J12" s="1769"/>
      <c r="K12" s="1769"/>
      <c r="L12" s="1769"/>
      <c r="M12" s="1769"/>
      <c r="N12" s="1769"/>
      <c r="O12" s="1769"/>
      <c r="P12" s="1769"/>
      <c r="Q12" s="1769"/>
      <c r="R12" s="1769"/>
      <c r="S12" s="1769"/>
      <c r="T12" s="1769"/>
      <c r="U12" s="1769"/>
      <c r="V12" s="1769"/>
      <c r="W12" s="1769"/>
      <c r="X12" s="1769"/>
      <c r="Y12" s="1769"/>
      <c r="Z12" s="1769"/>
      <c r="AA12" s="1769"/>
      <c r="AB12" s="1769"/>
      <c r="AC12" s="1769"/>
      <c r="AD12" s="1769"/>
      <c r="AE12" s="1769"/>
      <c r="AF12" s="1769"/>
      <c r="AG12" s="1769"/>
      <c r="AH12" s="1769"/>
      <c r="AI12" s="1769"/>
      <c r="AJ12" s="1769"/>
      <c r="AK12" s="1769"/>
      <c r="AL12" s="1769"/>
      <c r="AM12" s="6"/>
      <c r="AN12" s="6"/>
      <c r="AO12" s="6"/>
      <c r="AP12" s="6"/>
      <c r="AQ12" s="6"/>
      <c r="AR12" s="6"/>
      <c r="AS12" s="6"/>
      <c r="AT12" s="6"/>
      <c r="AU12" s="6"/>
      <c r="AV12" s="6"/>
      <c r="AW12" s="6"/>
      <c r="AX12" s="6"/>
      <c r="AY12" s="6"/>
    </row>
    <row r="13" spans="1:51" ht="12.95" customHeight="1">
      <c r="A13" s="1260" t="s">
        <v>2480</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2481</v>
      </c>
      <c r="C16" s="4"/>
      <c r="D16" s="4"/>
      <c r="E16" s="4"/>
      <c r="F16" s="4"/>
      <c r="G16" s="4"/>
      <c r="H16" s="1752" t="s">
        <v>2624</v>
      </c>
      <c r="I16" s="1745"/>
      <c r="J16" s="1745"/>
      <c r="K16" s="1745"/>
      <c r="L16" s="1745"/>
      <c r="M16" s="1745"/>
      <c r="N16" s="1745"/>
      <c r="O16" s="1745"/>
      <c r="P16" s="1745"/>
      <c r="Q16" s="1745"/>
      <c r="R16" s="1745"/>
      <c r="S16" s="1745"/>
      <c r="T16" s="1745"/>
      <c r="U16" s="1745"/>
      <c r="V16" s="1745"/>
      <c r="W16" s="1745"/>
      <c r="X16" s="1745"/>
      <c r="Y16" s="1745"/>
      <c r="Z16" s="1745"/>
      <c r="AA16" s="1745"/>
      <c r="AB16" s="1745"/>
      <c r="AC16" s="1745"/>
      <c r="AD16" s="1745"/>
      <c r="AE16" s="1745"/>
      <c r="AF16" s="1745"/>
      <c r="AG16" s="1745"/>
      <c r="AH16" s="1745"/>
      <c r="AI16" s="1745"/>
      <c r="AJ16" s="1745"/>
    </row>
    <row r="17" spans="1:52" ht="12.95" customHeight="1"/>
    <row r="18" spans="1:52" ht="12.95" customHeight="1">
      <c r="A18" s="57" t="s">
        <v>102</v>
      </c>
      <c r="C18" s="4"/>
      <c r="D18" s="4"/>
      <c r="E18" s="4"/>
      <c r="F18" s="4"/>
      <c r="G18" s="4"/>
      <c r="H18" s="1594" t="s">
        <v>2657</v>
      </c>
      <c r="I18" s="1645"/>
      <c r="J18" s="1645"/>
      <c r="K18" s="1645"/>
      <c r="L18" s="1645"/>
      <c r="M18" s="1645"/>
      <c r="N18" s="1645"/>
      <c r="O18" s="1645"/>
      <c r="P18" s="1645"/>
      <c r="Q18" s="1645"/>
      <c r="R18" s="1645"/>
      <c r="S18" s="1645"/>
      <c r="T18" s="1645"/>
      <c r="U18" s="1645"/>
      <c r="V18" s="1645"/>
      <c r="W18" s="1645"/>
      <c r="X18" s="1645"/>
      <c r="Y18" s="1645"/>
      <c r="Z18" s="1645"/>
      <c r="AA18" s="1645"/>
      <c r="AB18" s="1645"/>
      <c r="AC18" s="1645"/>
      <c r="AD18" s="1645"/>
      <c r="AE18" s="1645"/>
      <c r="AF18" s="1645"/>
      <c r="AG18" s="1645"/>
      <c r="AH18" s="1645"/>
      <c r="AI18" s="1645"/>
      <c r="AJ18" s="1645"/>
    </row>
    <row r="19" spans="1:52" ht="12.95" customHeight="1"/>
    <row r="20" spans="1:52" ht="12.95" customHeight="1">
      <c r="A20" s="1764" t="s">
        <v>901</v>
      </c>
      <c r="B20" s="1764"/>
      <c r="C20" s="1764"/>
      <c r="D20" s="1764"/>
      <c r="E20" s="1764"/>
      <c r="F20" s="1764"/>
      <c r="G20" s="1764"/>
      <c r="H20" s="1764"/>
      <c r="I20" s="1764"/>
      <c r="J20" s="1764"/>
      <c r="K20" s="1764"/>
      <c r="L20" s="1764"/>
      <c r="M20" s="1764"/>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937"/>
      <c r="AN20" s="937"/>
      <c r="AO20" s="937"/>
      <c r="AP20" s="937"/>
      <c r="AQ20" s="937"/>
      <c r="AR20" s="937"/>
      <c r="AS20" s="937"/>
      <c r="AT20" s="937"/>
      <c r="AU20" s="937"/>
      <c r="AV20" s="937"/>
      <c r="AW20" s="937"/>
      <c r="AX20" s="937"/>
      <c r="AY20" s="937"/>
    </row>
    <row r="21" spans="1:52" ht="12.95" customHeight="1">
      <c r="A21" s="1753" t="s">
        <v>1066</v>
      </c>
      <c r="B21" s="1753"/>
      <c r="C21" s="1753"/>
      <c r="D21" s="1753"/>
      <c r="E21" s="1753"/>
      <c r="F21" s="1753"/>
      <c r="G21" s="1753"/>
      <c r="H21" s="1753"/>
      <c r="I21" s="1753"/>
      <c r="J21" s="1753"/>
      <c r="K21" s="1753"/>
      <c r="L21" s="1753"/>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1">
        <f>'Basis &amp; Credits'!AB56</f>
        <v>2277408</v>
      </c>
      <c r="N26" s="1751"/>
      <c r="O26" s="1751"/>
      <c r="P26" s="1751"/>
      <c r="Q26" s="1751"/>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'Basis &amp; Credits'!AB77</f>
        <v>13136192</v>
      </c>
      <c r="N27" s="1388"/>
      <c r="O27" s="1388"/>
      <c r="P27" s="1388"/>
      <c r="Q27" s="1388"/>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70" t="s">
        <v>678</v>
      </c>
      <c r="P33" s="1370"/>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762" t="s">
        <v>1874</v>
      </c>
      <c r="H122" s="1762"/>
      <c r="I122" s="3" t="s">
        <v>182</v>
      </c>
      <c r="L122" s="1762" t="s">
        <v>2731</v>
      </c>
      <c r="M122" s="1762"/>
      <c r="N122" s="1762"/>
      <c r="O122" s="1759" t="s">
        <v>2732</v>
      </c>
      <c r="P122" s="1759"/>
      <c r="Q122" s="1759"/>
      <c r="R122" s="1759"/>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09" t="s">
        <v>2632</v>
      </c>
      <c r="D124" s="1809"/>
      <c r="E124" s="1809"/>
      <c r="F124" s="1809"/>
      <c r="G124" s="1809"/>
      <c r="H124" s="1809"/>
      <c r="I124" s="1809"/>
      <c r="J124" s="1809"/>
      <c r="K124" s="1809"/>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62"/>
      <c r="Z126" s="1762"/>
      <c r="AA126" s="1762"/>
      <c r="AB126" s="1762"/>
      <c r="AC126" s="1762"/>
      <c r="AD126" s="1762"/>
      <c r="AE126" s="1762"/>
      <c r="AF126" s="1762"/>
      <c r="AG126" s="1762"/>
      <c r="AH126" s="1762"/>
      <c r="AI126" s="1762"/>
      <c r="AJ126" s="1762"/>
      <c r="AK126" s="1762"/>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2" t="s">
        <v>2633</v>
      </c>
      <c r="Z129" s="1762"/>
      <c r="AA129" s="1762"/>
      <c r="AB129" s="1762"/>
      <c r="AC129" s="1762"/>
      <c r="AD129" s="1762"/>
      <c r="AE129" s="1762"/>
      <c r="AF129" s="1762"/>
      <c r="AG129" s="1762"/>
      <c r="AH129" s="1762"/>
      <c r="AI129" s="1762"/>
      <c r="AJ129" s="1762"/>
      <c r="AK129" s="1762"/>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2" t="s">
        <v>2702</v>
      </c>
      <c r="Z132" s="1762"/>
      <c r="AA132" s="1762"/>
      <c r="AB132" s="1762"/>
      <c r="AC132" s="1762"/>
      <c r="AD132" s="1762"/>
      <c r="AE132" s="1762"/>
      <c r="AF132" s="1762"/>
      <c r="AG132" s="1762"/>
      <c r="AH132" s="1762"/>
      <c r="AI132" s="1762"/>
      <c r="AJ132" s="1762"/>
      <c r="AK132" s="1762"/>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94" t="s">
        <v>2658</v>
      </c>
      <c r="P153" s="1594"/>
      <c r="Q153" s="1594"/>
      <c r="R153" s="1594"/>
      <c r="S153" s="1594"/>
      <c r="T153" s="1594"/>
      <c r="U153" s="1594"/>
      <c r="V153" s="1594"/>
      <c r="W153" s="1594"/>
      <c r="X153" s="1594"/>
      <c r="Y153" s="1594"/>
      <c r="Z153" s="1594"/>
      <c r="AA153" s="1594"/>
      <c r="AB153" s="1594"/>
      <c r="AC153" s="1594"/>
      <c r="AD153" s="1594"/>
      <c r="AE153" s="1594"/>
      <c r="AF153" s="1594"/>
      <c r="AG153" s="1594"/>
      <c r="AH153" s="1594"/>
    </row>
    <row r="154" spans="1:72" ht="12.95" customHeight="1">
      <c r="D154" s="325" t="s">
        <v>442</v>
      </c>
      <c r="O154" s="1623" t="s">
        <v>2659</v>
      </c>
      <c r="P154" s="1623"/>
      <c r="Q154" s="1623"/>
      <c r="R154" s="1623"/>
      <c r="S154" s="1623"/>
      <c r="T154" s="1623"/>
      <c r="U154" s="1623"/>
      <c r="V154" s="1623"/>
      <c r="W154" s="1623"/>
      <c r="X154" s="1623"/>
      <c r="Y154" s="1623"/>
      <c r="Z154" s="1623"/>
      <c r="AA154" s="1623"/>
      <c r="AB154" s="1623"/>
      <c r="AC154" s="1623"/>
      <c r="AD154" s="1623"/>
      <c r="AE154" s="1623"/>
      <c r="AF154" s="1623"/>
      <c r="AG154" s="1623"/>
      <c r="AH154" s="1623"/>
    </row>
    <row r="155" spans="1:72" ht="12.95" customHeight="1">
      <c r="D155" s="8" t="s">
        <v>444</v>
      </c>
      <c r="F155" s="8"/>
      <c r="G155" s="8"/>
      <c r="H155" s="8"/>
      <c r="I155" s="8"/>
      <c r="J155" s="8"/>
      <c r="K155" s="8"/>
      <c r="L155" s="8"/>
      <c r="M155" s="8"/>
      <c r="N155" s="8"/>
      <c r="O155" s="1755" t="s">
        <v>443</v>
      </c>
      <c r="P155" s="1755"/>
      <c r="Q155" s="1755"/>
      <c r="R155" s="1755"/>
      <c r="S155" s="1755"/>
      <c r="T155" s="1755"/>
      <c r="U155" s="1755"/>
      <c r="V155" s="1755"/>
      <c r="W155" s="1755"/>
      <c r="X155" s="1755"/>
      <c r="Y155" s="1755"/>
      <c r="Z155" s="1755"/>
      <c r="AA155" s="1755"/>
      <c r="AB155" s="1755"/>
      <c r="AC155" s="1755"/>
      <c r="AD155" s="1755"/>
      <c r="AE155" s="1755"/>
      <c r="AF155" s="1755"/>
      <c r="AG155" s="1755"/>
      <c r="AH155" s="1755"/>
    </row>
    <row r="156" spans="1:72" ht="12.95" customHeight="1">
      <c r="D156" t="s">
        <v>314</v>
      </c>
      <c r="O156" s="1352" t="s">
        <v>2660</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2.95" customHeight="1">
      <c r="D157" t="s">
        <v>315</v>
      </c>
      <c r="O157" s="1594" t="s">
        <v>2632</v>
      </c>
      <c r="P157" s="1645"/>
      <c r="Q157" s="1645"/>
      <c r="R157" s="1645"/>
      <c r="S157" s="1645"/>
      <c r="T157" s="1645"/>
      <c r="U157" s="1645"/>
      <c r="V157" s="1645"/>
      <c r="W157" s="1645"/>
      <c r="X157" s="1645"/>
      <c r="Y157" s="8"/>
      <c r="Z157" s="8"/>
      <c r="AA157" s="8"/>
      <c r="AB157" s="8"/>
      <c r="AC157" s="8"/>
      <c r="AD157" s="8"/>
      <c r="AE157" s="8"/>
      <c r="AF157" s="8"/>
      <c r="BN157" s="23" t="s">
        <v>645</v>
      </c>
      <c r="BT157" t="s">
        <v>485</v>
      </c>
    </row>
    <row r="158" spans="1:72" ht="12.95" customHeight="1">
      <c r="D158" t="s">
        <v>316</v>
      </c>
      <c r="O158" s="1756">
        <v>95678</v>
      </c>
      <c r="P158" s="1756"/>
      <c r="Q158" s="1756"/>
      <c r="R158" s="1756"/>
      <c r="S158" s="9"/>
      <c r="T158" s="9"/>
      <c r="U158" s="9"/>
      <c r="V158" s="9"/>
      <c r="W158" s="9"/>
      <c r="X158" s="9"/>
      <c r="Y158" s="9"/>
      <c r="Z158" s="9"/>
      <c r="AA158" s="9"/>
      <c r="AB158" s="9"/>
      <c r="AC158" s="9"/>
      <c r="AD158" s="9"/>
      <c r="AE158" s="9"/>
      <c r="AF158" s="9"/>
      <c r="BN158" s="23" t="s">
        <v>646</v>
      </c>
      <c r="BT158" t="s">
        <v>486</v>
      </c>
    </row>
    <row r="159" spans="1:72" ht="12.95" customHeight="1">
      <c r="D159" t="s">
        <v>317</v>
      </c>
      <c r="O159" s="1758">
        <v>9167745362</v>
      </c>
      <c r="P159" s="1758"/>
      <c r="Q159" s="1758"/>
      <c r="R159" s="1758"/>
      <c r="S159" s="1758"/>
      <c r="T159" s="1758"/>
      <c r="V159" s="97" t="s">
        <v>272</v>
      </c>
      <c r="W159" s="1757"/>
      <c r="X159" s="1757"/>
      <c r="Y159" s="10"/>
      <c r="Z159" s="10"/>
      <c r="AA159" s="10"/>
      <c r="AB159" s="10"/>
      <c r="AC159" s="10"/>
      <c r="AD159" s="10"/>
      <c r="AE159" s="10"/>
      <c r="AF159" s="10"/>
      <c r="BN159" s="23" t="s">
        <v>340</v>
      </c>
      <c r="BT159" t="s">
        <v>487</v>
      </c>
    </row>
    <row r="160" spans="1:72" ht="12.95" customHeight="1">
      <c r="D160" t="s">
        <v>318</v>
      </c>
      <c r="O160" s="1758" t="s">
        <v>600</v>
      </c>
      <c r="P160" s="1758"/>
      <c r="Q160" s="1758"/>
      <c r="R160" s="1758"/>
      <c r="S160" s="1758"/>
      <c r="T160" s="1758"/>
      <c r="U160" s="10"/>
      <c r="V160" s="10"/>
      <c r="W160" s="10"/>
      <c r="X160" s="10"/>
      <c r="Y160" s="10"/>
      <c r="Z160" s="10"/>
      <c r="AA160" s="10"/>
      <c r="AB160" s="10"/>
      <c r="AC160" s="10"/>
      <c r="AD160" s="10"/>
      <c r="AE160" s="10"/>
      <c r="AF160" s="10"/>
      <c r="BN160" s="23" t="s">
        <v>669</v>
      </c>
      <c r="BT160" t="s">
        <v>488</v>
      </c>
    </row>
    <row r="161" spans="1:72" ht="12.95" customHeight="1">
      <c r="D161" t="s">
        <v>319</v>
      </c>
      <c r="O161" s="1761" t="s">
        <v>2661</v>
      </c>
      <c r="P161" s="1761"/>
      <c r="Q161" s="1761"/>
      <c r="R161" s="1761"/>
      <c r="S161" s="1761"/>
      <c r="T161" s="1761"/>
      <c r="U161" s="1761"/>
      <c r="V161" s="1761"/>
      <c r="W161" s="1761"/>
      <c r="X161" s="1761"/>
      <c r="Y161" s="1761"/>
      <c r="Z161" s="1761"/>
      <c r="AA161" s="1761"/>
      <c r="AB161" s="1761"/>
      <c r="AC161" s="1761"/>
      <c r="AD161" s="1761"/>
      <c r="AE161" s="1761"/>
      <c r="AF161" s="1761"/>
      <c r="AG161" s="1761"/>
      <c r="AH161" s="1761"/>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10" t="s">
        <v>1387</v>
      </c>
      <c r="E164" s="1810"/>
      <c r="F164" s="1810"/>
      <c r="G164" s="1810"/>
      <c r="H164" s="1810"/>
      <c r="I164" s="1810"/>
      <c r="J164" s="1810"/>
      <c r="K164" s="1810"/>
      <c r="L164" s="1810"/>
      <c r="M164" s="1810"/>
      <c r="N164" s="1810"/>
      <c r="O164" s="1810"/>
      <c r="P164" s="1810"/>
      <c r="Q164" s="1810"/>
      <c r="R164" s="1810"/>
      <c r="S164" s="1810"/>
      <c r="T164" s="1810"/>
      <c r="U164" s="1810"/>
      <c r="V164" s="1810"/>
      <c r="W164" s="1810"/>
      <c r="X164" s="1810"/>
      <c r="Y164" s="1810"/>
      <c r="Z164" s="1810"/>
      <c r="AA164" s="1810"/>
      <c r="AB164" s="1810"/>
      <c r="AC164" s="1810"/>
      <c r="AD164" s="1810"/>
      <c r="AE164" s="1810"/>
      <c r="AF164" s="1810"/>
      <c r="AG164" s="1810"/>
      <c r="AH164" s="181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36" t="s">
        <v>548</v>
      </c>
      <c r="B169" s="1636"/>
      <c r="C169" s="1636"/>
      <c r="D169" s="1636"/>
      <c r="E169" s="1636"/>
      <c r="F169" s="1636"/>
      <c r="G169" s="1636"/>
      <c r="H169" s="1636"/>
      <c r="I169" s="1636"/>
      <c r="J169" s="1636"/>
      <c r="K169" s="1636"/>
      <c r="L169" s="1636"/>
      <c r="M169" s="1636"/>
      <c r="N169" s="1636"/>
      <c r="O169" s="1636"/>
      <c r="P169" s="1636"/>
      <c r="Q169" s="1636"/>
      <c r="R169" s="1636"/>
      <c r="S169" s="1636"/>
      <c r="T169" s="1636"/>
      <c r="U169" s="1636"/>
      <c r="V169" s="1636"/>
      <c r="W169" s="1636"/>
      <c r="X169" s="1636"/>
      <c r="Y169" s="1636"/>
      <c r="Z169" s="1636"/>
      <c r="AA169" s="1636"/>
      <c r="AB169" s="1636"/>
      <c r="AC169" s="1636"/>
      <c r="AD169" s="1636"/>
      <c r="AE169" s="1636"/>
      <c r="AF169" s="1636"/>
      <c r="AG169" s="1636"/>
      <c r="AH169" s="1636"/>
      <c r="AI169" s="1636"/>
      <c r="AJ169" s="1636"/>
      <c r="AK169" s="1636"/>
      <c r="AL169" s="1636"/>
      <c r="AM169" s="95"/>
      <c r="AN169" s="95"/>
      <c r="AO169" s="95"/>
      <c r="AP169" s="95"/>
      <c r="AQ169" s="95"/>
      <c r="AR169" s="95"/>
      <c r="AS169" s="95"/>
      <c r="AT169" s="95"/>
      <c r="AU169" s="95"/>
      <c r="AV169" s="95"/>
      <c r="AW169" s="95"/>
      <c r="AX169" s="95"/>
      <c r="AY169" s="95"/>
      <c r="BN169" s="23" t="s">
        <v>682</v>
      </c>
      <c r="BT169" t="s">
        <v>497</v>
      </c>
    </row>
    <row r="170" spans="1:72" ht="12.95" customHeight="1" thickBot="1">
      <c r="A170" s="1637"/>
      <c r="B170" s="1637"/>
      <c r="C170" s="1637"/>
      <c r="D170" s="1637"/>
      <c r="E170" s="1637"/>
      <c r="F170" s="1637"/>
      <c r="G170" s="1637"/>
      <c r="H170" s="1637"/>
      <c r="I170" s="1637"/>
      <c r="J170" s="1637"/>
      <c r="K170" s="1637"/>
      <c r="L170" s="1637"/>
      <c r="M170" s="1637"/>
      <c r="N170" s="1637"/>
      <c r="O170" s="1637"/>
      <c r="P170" s="1637"/>
      <c r="Q170" s="1637"/>
      <c r="R170" s="1637"/>
      <c r="S170" s="1637"/>
      <c r="T170" s="1637"/>
      <c r="U170" s="1637"/>
      <c r="V170" s="1637"/>
      <c r="W170" s="1637"/>
      <c r="X170" s="1637"/>
      <c r="Y170" s="1637"/>
      <c r="Z170" s="1637"/>
      <c r="AA170" s="1637"/>
      <c r="AB170" s="1637"/>
      <c r="AC170" s="1637"/>
      <c r="AD170" s="1637"/>
      <c r="AE170" s="1637"/>
      <c r="AF170" s="1637"/>
      <c r="AG170" s="1637"/>
      <c r="AH170" s="1637"/>
      <c r="AI170" s="1637"/>
      <c r="AJ170" s="1637"/>
      <c r="AK170" s="1637"/>
      <c r="AL170" s="1637"/>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754" t="s">
        <v>372</v>
      </c>
      <c r="K173" s="1754"/>
      <c r="L173" s="1754"/>
      <c r="M173" s="1754"/>
      <c r="N173" s="1754"/>
      <c r="O173" s="1754"/>
      <c r="P173" s="1754"/>
      <c r="Q173" s="1754"/>
      <c r="R173" s="1754"/>
      <c r="S173" s="1754"/>
      <c r="U173" s="25"/>
      <c r="X173" s="25"/>
      <c r="BN173" s="23" t="s">
        <v>215</v>
      </c>
      <c r="BT173" t="s">
        <v>501</v>
      </c>
    </row>
    <row r="174" spans="1:72" ht="12.95" customHeight="1">
      <c r="C174" s="24"/>
      <c r="D174" s="3" t="s">
        <v>1345</v>
      </c>
      <c r="J174" s="1352" t="s">
        <v>2529</v>
      </c>
      <c r="K174" s="1352"/>
      <c r="L174" s="1352"/>
      <c r="M174" s="1352"/>
      <c r="N174" s="1352"/>
      <c r="O174" s="1352"/>
      <c r="P174" s="1352"/>
      <c r="Q174" s="1352"/>
      <c r="R174" s="1352"/>
      <c r="S174" s="1352"/>
      <c r="T174" s="1352"/>
      <c r="U174" s="1352"/>
      <c r="V174" s="1352"/>
      <c r="W174" s="1352"/>
      <c r="X174" s="1352"/>
      <c r="Y174" s="1352"/>
      <c r="Z174" s="1352"/>
      <c r="AA174" s="1352"/>
      <c r="AB174" s="1352"/>
      <c r="BN174" s="23" t="s">
        <v>217</v>
      </c>
      <c r="BT174" t="s">
        <v>502</v>
      </c>
    </row>
    <row r="175" spans="1:72" ht="12.95" customHeight="1">
      <c r="C175" s="8"/>
      <c r="D175" s="3" t="s">
        <v>323</v>
      </c>
      <c r="O175" s="27"/>
      <c r="U175" s="1370"/>
      <c r="V175" s="1370"/>
      <c r="BN175" s="23" t="s">
        <v>218</v>
      </c>
      <c r="BT175" t="s">
        <v>503</v>
      </c>
    </row>
    <row r="176" spans="1:72" ht="12.95" customHeight="1">
      <c r="C176" s="8"/>
      <c r="D176" s="26"/>
      <c r="E176" t="s">
        <v>305</v>
      </c>
      <c r="O176" s="27"/>
      <c r="P176" t="s">
        <v>2501</v>
      </c>
      <c r="T176" s="27" t="s">
        <v>306</v>
      </c>
      <c r="U176" s="1360"/>
      <c r="V176" s="1360"/>
      <c r="W176" s="1" t="s">
        <v>307</v>
      </c>
      <c r="X176" s="1740"/>
      <c r="Y176" s="1740"/>
      <c r="BN176" s="23" t="s">
        <v>220</v>
      </c>
      <c r="BT176" t="s">
        <v>504</v>
      </c>
    </row>
    <row r="177" spans="1:72" ht="12.95" customHeight="1">
      <c r="C177" s="24"/>
      <c r="D177" t="s">
        <v>250</v>
      </c>
      <c r="R177" s="1370"/>
      <c r="S177" s="1370"/>
      <c r="BN177" s="23" t="s">
        <v>221</v>
      </c>
      <c r="BT177" t="s">
        <v>505</v>
      </c>
    </row>
    <row r="178" spans="1:72" ht="12.95" customHeight="1">
      <c r="C178" s="24"/>
      <c r="D178" s="3" t="s">
        <v>1346</v>
      </c>
      <c r="AA178" t="s">
        <v>2501</v>
      </c>
      <c r="AE178" s="27" t="s">
        <v>306</v>
      </c>
      <c r="AF178" s="1595"/>
      <c r="AG178" s="1595"/>
      <c r="AH178" s="1" t="s">
        <v>307</v>
      </c>
      <c r="AI178" s="1650"/>
      <c r="AJ178" s="1650"/>
      <c r="AK178" s="1650"/>
      <c r="BN178" s="23" t="s">
        <v>222</v>
      </c>
      <c r="BT178" t="s">
        <v>53</v>
      </c>
    </row>
    <row r="179" spans="1:72" ht="12.95" customHeight="1">
      <c r="C179" s="24"/>
      <c r="BN179" s="23" t="s">
        <v>223</v>
      </c>
      <c r="BT179" t="s">
        <v>54</v>
      </c>
    </row>
    <row r="180" spans="1:72" ht="12.95" customHeight="1">
      <c r="C180" s="24"/>
      <c r="D180" t="s">
        <v>2502</v>
      </c>
      <c r="X180" s="1370"/>
      <c r="Y180" s="1370"/>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351" t="str">
        <f>H18</f>
        <v>Creekview Affordable - Lot C-43</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231</v>
      </c>
      <c r="BT184" t="s">
        <v>62</v>
      </c>
    </row>
    <row r="185" spans="1:72" ht="12.95" customHeight="1">
      <c r="C185" s="21"/>
      <c r="D185" t="s">
        <v>588</v>
      </c>
      <c r="I185" s="1369" t="s">
        <v>2663</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597</v>
      </c>
      <c r="BN185" s="23" t="s">
        <v>232</v>
      </c>
      <c r="BT185" t="s">
        <v>63</v>
      </c>
    </row>
    <row r="186" spans="1:72" ht="12.95" customHeight="1">
      <c r="C186" s="21"/>
      <c r="E186" t="s">
        <v>168</v>
      </c>
      <c r="BN186" s="23" t="s">
        <v>233</v>
      </c>
      <c r="BT186" t="s">
        <v>64</v>
      </c>
    </row>
    <row r="187" spans="1:72" ht="12.95" customHeight="1">
      <c r="C187" s="21"/>
      <c r="E187" s="1767"/>
      <c r="F187" s="1767"/>
      <c r="G187" s="1767"/>
      <c r="H187" s="1767"/>
      <c r="I187" s="1767"/>
      <c r="J187" s="1767"/>
      <c r="K187" s="1767"/>
      <c r="L187" s="1767"/>
      <c r="M187" s="1767"/>
      <c r="N187" s="1767"/>
      <c r="O187" s="1767"/>
      <c r="P187" s="1767"/>
      <c r="Q187" s="1767"/>
      <c r="R187" s="1767"/>
      <c r="S187" s="1767"/>
      <c r="T187" s="1767"/>
      <c r="U187" s="1767"/>
      <c r="V187" s="1767"/>
      <c r="W187" s="1767"/>
      <c r="X187" s="1767"/>
      <c r="Y187" s="1767"/>
      <c r="Z187" s="1767"/>
      <c r="AA187" s="1767"/>
      <c r="AB187" s="1767"/>
      <c r="AC187" s="1767"/>
      <c r="AD187" s="1767"/>
      <c r="AE187" s="1767"/>
      <c r="BN187" s="23" t="s">
        <v>234</v>
      </c>
      <c r="BT187" t="s">
        <v>65</v>
      </c>
    </row>
    <row r="188" spans="1:72" ht="12.95" customHeight="1">
      <c r="C188" s="21"/>
      <c r="E188" s="1592"/>
      <c r="F188" s="1592"/>
      <c r="G188" s="1592"/>
      <c r="H188" s="1592"/>
      <c r="I188" s="1592"/>
      <c r="J188" s="1592"/>
      <c r="K188" s="1592"/>
      <c r="L188" s="1592"/>
      <c r="M188" s="1592"/>
      <c r="N188" s="1592"/>
      <c r="O188" s="1592"/>
      <c r="P188" s="1592"/>
      <c r="Q188" s="1592"/>
      <c r="R188" s="1592"/>
      <c r="S188" s="1592"/>
      <c r="T188" s="1592"/>
      <c r="U188" s="1592"/>
      <c r="V188" s="1592"/>
      <c r="W188" s="1592"/>
      <c r="X188" s="1592"/>
      <c r="Y188" s="1592"/>
      <c r="Z188" s="1592"/>
      <c r="AA188" s="1592"/>
      <c r="AB188" s="1592"/>
      <c r="AC188" s="1592"/>
      <c r="AD188" s="1592"/>
      <c r="AE188" s="1592"/>
      <c r="BN188" s="23" t="s">
        <v>236</v>
      </c>
      <c r="BT188" t="s">
        <v>66</v>
      </c>
    </row>
    <row r="189" spans="1:72" ht="12.95" customHeight="1">
      <c r="C189" s="21"/>
      <c r="D189" t="s">
        <v>589</v>
      </c>
      <c r="I189" s="1352" t="s">
        <v>2632</v>
      </c>
      <c r="J189" s="1352"/>
      <c r="K189" s="1352"/>
      <c r="L189" s="1352"/>
      <c r="M189" s="1352"/>
      <c r="N189" s="1352"/>
      <c r="O189" s="1352"/>
      <c r="P189" s="1352"/>
      <c r="Q189" t="s">
        <v>591</v>
      </c>
      <c r="T189" s="1352" t="s">
        <v>65</v>
      </c>
      <c r="U189" s="1352"/>
      <c r="V189" s="1352"/>
      <c r="W189" s="1352"/>
      <c r="X189" s="1352"/>
      <c r="Y189" s="1352"/>
      <c r="Z189" s="1352"/>
      <c r="AA189" s="1352"/>
      <c r="AB189" s="1352"/>
      <c r="AC189" s="1352"/>
      <c r="AD189" s="1352"/>
      <c r="AE189" s="1352"/>
      <c r="BC189" t="s">
        <v>308</v>
      </c>
      <c r="BH189" s="3" t="s">
        <v>600</v>
      </c>
      <c r="BN189" s="23" t="s">
        <v>237</v>
      </c>
      <c r="BT189" t="s">
        <v>67</v>
      </c>
    </row>
    <row r="190" spans="1:72" ht="12.95" customHeight="1">
      <c r="C190" s="21"/>
      <c r="D190" t="s">
        <v>592</v>
      </c>
      <c r="I190" s="1369">
        <v>95747</v>
      </c>
      <c r="J190" s="1369"/>
      <c r="K190" s="1369"/>
      <c r="L190" s="1369"/>
      <c r="M190" s="1369"/>
      <c r="N190" s="1369"/>
      <c r="O190" t="s">
        <v>594</v>
      </c>
      <c r="T190" s="1765">
        <v>213.28</v>
      </c>
      <c r="U190" s="1765"/>
      <c r="V190" s="1765"/>
      <c r="W190" s="1765"/>
      <c r="X190" s="1765"/>
      <c r="Y190" s="1765"/>
      <c r="Z190" s="1765"/>
      <c r="AA190" s="1765"/>
      <c r="AB190" s="1765"/>
      <c r="AC190" s="1765"/>
      <c r="AD190" s="1765"/>
      <c r="AE190" s="1765"/>
      <c r="BC190" t="s">
        <v>1102</v>
      </c>
      <c r="BH190" t="s">
        <v>1102</v>
      </c>
      <c r="BN190" s="23" t="s">
        <v>644</v>
      </c>
      <c r="BT190" t="s">
        <v>68</v>
      </c>
    </row>
    <row r="191" spans="1:72" ht="12.95" customHeight="1">
      <c r="C191" s="21"/>
      <c r="D191" t="s">
        <v>471</v>
      </c>
      <c r="N191" s="1767" t="s">
        <v>2662</v>
      </c>
      <c r="O191" s="1767"/>
      <c r="P191" s="1767"/>
      <c r="Q191" s="1767"/>
      <c r="R191" s="1767"/>
      <c r="S191" s="1767"/>
      <c r="T191" s="1767"/>
      <c r="U191" s="1767"/>
      <c r="V191" s="1767"/>
      <c r="W191" s="1767"/>
      <c r="X191" s="1767"/>
      <c r="Y191" s="1767"/>
      <c r="Z191" s="1767"/>
      <c r="AA191" s="1767"/>
      <c r="AB191" s="1767"/>
      <c r="AC191" s="1767"/>
      <c r="AD191" s="1767"/>
      <c r="AE191" s="1767"/>
      <c r="BC191" t="s">
        <v>1101</v>
      </c>
      <c r="BH191" t="s">
        <v>1101</v>
      </c>
      <c r="BN191" s="23" t="s">
        <v>698</v>
      </c>
      <c r="BT191" t="s">
        <v>739</v>
      </c>
    </row>
    <row r="192" spans="1:72" ht="12.95" customHeight="1">
      <c r="C192" s="21"/>
      <c r="M192" s="40"/>
      <c r="N192" s="1592"/>
      <c r="O192" s="1592"/>
      <c r="P192" s="1592"/>
      <c r="Q192" s="1592"/>
      <c r="R192" s="1592"/>
      <c r="S192" s="1592"/>
      <c r="T192" s="1592"/>
      <c r="U192" s="1592"/>
      <c r="V192" s="1592"/>
      <c r="W192" s="1592"/>
      <c r="X192" s="1592"/>
      <c r="Y192" s="1592"/>
      <c r="Z192" s="1592"/>
      <c r="AA192" s="1592"/>
      <c r="AB192" s="1592"/>
      <c r="AC192" s="1592"/>
      <c r="AD192" s="1592"/>
      <c r="AE192" s="1592"/>
      <c r="BC192" t="s">
        <v>1104</v>
      </c>
      <c r="BH192" s="3" t="s">
        <v>1807</v>
      </c>
      <c r="BN192" s="23" t="s">
        <v>699</v>
      </c>
      <c r="BT192" t="s">
        <v>740</v>
      </c>
    </row>
    <row r="193" spans="1:74" ht="12.95" customHeight="1">
      <c r="C193" s="21"/>
      <c r="D193" t="s">
        <v>2503</v>
      </c>
      <c r="M193" s="40"/>
      <c r="N193" s="930"/>
      <c r="O193" s="930"/>
      <c r="P193" s="930"/>
      <c r="Q193" s="930"/>
      <c r="R193" s="930"/>
      <c r="S193" s="930"/>
      <c r="T193" s="1746"/>
      <c r="U193" s="1746"/>
      <c r="V193" s="1746"/>
      <c r="W193" s="1746"/>
      <c r="X193" s="1746"/>
      <c r="Y193" s="1746"/>
      <c r="Z193" s="1746"/>
      <c r="AA193" s="1746"/>
      <c r="AB193" s="1746"/>
      <c r="AC193" s="1746"/>
      <c r="AD193" s="1746"/>
      <c r="AE193" s="1746"/>
      <c r="AF193" s="1746"/>
      <c r="AG193" s="1746"/>
      <c r="AH193" s="1746"/>
      <c r="AI193" s="1746"/>
      <c r="BC193" t="s">
        <v>1103</v>
      </c>
      <c r="BH193" s="3" t="s">
        <v>1808</v>
      </c>
      <c r="BN193" s="23" t="s">
        <v>700</v>
      </c>
      <c r="BT193" t="s">
        <v>741</v>
      </c>
    </row>
    <row r="194" spans="1:74" ht="12.95" customHeight="1">
      <c r="C194" s="21"/>
      <c r="D194" t="s">
        <v>332</v>
      </c>
      <c r="T194" s="1370" t="s">
        <v>554</v>
      </c>
      <c r="U194" s="1370"/>
      <c r="W194" t="s">
        <v>694</v>
      </c>
      <c r="AH194" s="1370">
        <v>3</v>
      </c>
      <c r="AI194" s="1370"/>
      <c r="BC194" t="s">
        <v>1536</v>
      </c>
      <c r="BN194" s="23" t="s">
        <v>701</v>
      </c>
      <c r="BT194" t="s">
        <v>742</v>
      </c>
    </row>
    <row r="195" spans="1:74" ht="12.95" customHeight="1">
      <c r="C195" s="21"/>
      <c r="D195" t="s">
        <v>387</v>
      </c>
      <c r="T195" s="1524" t="s">
        <v>678</v>
      </c>
      <c r="U195" s="1524"/>
      <c r="W195" t="s">
        <v>695</v>
      </c>
      <c r="AH195" s="1370">
        <v>5</v>
      </c>
      <c r="AI195" s="1370"/>
      <c r="BC195" t="s">
        <v>2119</v>
      </c>
      <c r="BN195" s="23" t="s">
        <v>243</v>
      </c>
      <c r="BT195" t="s">
        <v>743</v>
      </c>
    </row>
    <row r="196" spans="1:74" ht="12.95" customHeight="1">
      <c r="C196" s="21"/>
      <c r="D196" s="3" t="s">
        <v>169</v>
      </c>
      <c r="T196" s="1524" t="s">
        <v>678</v>
      </c>
      <c r="U196" s="1524"/>
      <c r="W196" t="s">
        <v>696</v>
      </c>
      <c r="AH196" s="1370">
        <v>6</v>
      </c>
      <c r="AI196" s="1370"/>
      <c r="BN196" s="23" t="s">
        <v>244</v>
      </c>
      <c r="BT196" t="s">
        <v>69</v>
      </c>
    </row>
    <row r="197" spans="1:74" ht="12.95" customHeight="1">
      <c r="C197" s="21"/>
      <c r="D197" s="3" t="s">
        <v>1832</v>
      </c>
      <c r="T197" s="1524"/>
      <c r="U197" s="1524"/>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2504</v>
      </c>
      <c r="Y198" s="1370"/>
      <c r="Z198" s="1370"/>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351" t="s">
        <v>386</v>
      </c>
      <c r="E203" s="1351"/>
      <c r="F203" s="1351"/>
      <c r="G203" s="1351"/>
      <c r="H203" s="1351"/>
      <c r="I203" s="1351"/>
      <c r="J203" s="1351"/>
      <c r="K203" s="1351"/>
      <c r="L203" s="1351"/>
      <c r="M203" s="1351"/>
      <c r="P203" s="1763">
        <f>M26</f>
        <v>2277408</v>
      </c>
      <c r="Q203" s="1750"/>
      <c r="R203" s="1750"/>
      <c r="S203" s="1750"/>
      <c r="T203" s="1750"/>
      <c r="U203" s="1750"/>
      <c r="Z203" s="1748" t="s">
        <v>2730</v>
      </c>
      <c r="AA203" s="1748"/>
      <c r="AB203" s="1748"/>
      <c r="AC203" s="1748"/>
      <c r="AD203" s="1748"/>
      <c r="AE203" s="1748"/>
      <c r="AF203" s="1748"/>
      <c r="BC203" t="s">
        <v>1129</v>
      </c>
      <c r="BN203" s="23" t="s">
        <v>712</v>
      </c>
      <c r="BO203" s="14"/>
      <c r="BP203" s="32"/>
      <c r="BQ203" s="32"/>
      <c r="BR203" s="32"/>
      <c r="BS203" s="32"/>
      <c r="BT203" s="32" t="s">
        <v>197</v>
      </c>
    </row>
    <row r="204" spans="1:74" ht="12.95" customHeight="1">
      <c r="C204" s="21"/>
      <c r="D204" s="1747" t="s">
        <v>1403</v>
      </c>
      <c r="E204" s="1351"/>
      <c r="F204" s="1351"/>
      <c r="G204" s="1351"/>
      <c r="H204" s="1351"/>
      <c r="I204" s="1351"/>
      <c r="J204" s="1351"/>
      <c r="K204" s="1351"/>
      <c r="L204" s="1351"/>
      <c r="M204" s="1351"/>
      <c r="P204" s="1750">
        <f>M27</f>
        <v>13136192</v>
      </c>
      <c r="Q204" s="1750"/>
      <c r="R204" s="1750"/>
      <c r="S204" s="1750"/>
      <c r="T204" s="1750"/>
      <c r="U204" s="1750"/>
      <c r="V204" s="28"/>
      <c r="W204" s="3" t="s">
        <v>1980</v>
      </c>
      <c r="Z204" s="1748"/>
      <c r="AA204" s="1748"/>
      <c r="AB204" s="1748"/>
      <c r="AC204" s="1748"/>
      <c r="AD204" s="1748"/>
      <c r="AE204" s="1748"/>
      <c r="AF204" s="1748"/>
      <c r="AG204" t="s">
        <v>1404</v>
      </c>
      <c r="AP204" s="1370" t="s">
        <v>678</v>
      </c>
      <c r="AQ204" s="1370"/>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749"/>
      <c r="AA205" s="1749"/>
      <c r="AB205" s="1749"/>
      <c r="AC205" s="1749"/>
      <c r="AD205" s="1749"/>
      <c r="AE205" s="1749"/>
      <c r="AF205" s="1749"/>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645" t="s">
        <v>2664</v>
      </c>
      <c r="E207" s="1645"/>
      <c r="F207" s="1645"/>
      <c r="G207" s="1645"/>
      <c r="H207" s="1645"/>
      <c r="I207" s="1645"/>
      <c r="J207" s="1645"/>
      <c r="K207" s="1645"/>
      <c r="L207" s="1645"/>
      <c r="M207" s="1645"/>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645" t="s">
        <v>1102</v>
      </c>
      <c r="E210" s="1645"/>
      <c r="F210" s="1645"/>
      <c r="G210" s="1645"/>
      <c r="H210" s="1645"/>
      <c r="I210" s="1645"/>
      <c r="J210" s="1645"/>
      <c r="K210" s="1645"/>
      <c r="L210" s="1645"/>
      <c r="M210" s="1645"/>
      <c r="BN210" s="23" t="s">
        <v>48</v>
      </c>
      <c r="BT210" s="32" t="s">
        <v>203</v>
      </c>
    </row>
    <row r="211" spans="1:72" ht="12.95" customHeight="1">
      <c r="C211" s="21"/>
      <c r="D211" t="s">
        <v>1393</v>
      </c>
      <c r="Y211" s="1370"/>
      <c r="Z211" s="1370"/>
      <c r="AB211" s="1743">
        <f>IFERROR(Y211/AG439,"")</f>
        <v>0</v>
      </c>
      <c r="AC211" s="1744"/>
      <c r="BN211" s="23" t="s">
        <v>130</v>
      </c>
      <c r="BT211" s="32" t="s">
        <v>131</v>
      </c>
    </row>
    <row r="212" spans="1:72" ht="12.95" customHeight="1">
      <c r="D212" s="1198" t="s">
        <v>1806</v>
      </c>
      <c r="BC212" t="s">
        <v>308</v>
      </c>
      <c r="BN212" s="23" t="s">
        <v>49</v>
      </c>
      <c r="BT212" s="32" t="s">
        <v>204</v>
      </c>
    </row>
    <row r="213" spans="1:72" ht="12.95" customHeight="1">
      <c r="D213" s="1801" t="s">
        <v>600</v>
      </c>
      <c r="E213" s="1801"/>
      <c r="F213" s="1801"/>
      <c r="G213" s="1801"/>
      <c r="H213" s="1801"/>
      <c r="I213" s="1801"/>
      <c r="J213" s="1801"/>
      <c r="K213" s="1801"/>
      <c r="L213" s="1801"/>
      <c r="M213" s="1801"/>
      <c r="N213" s="1801"/>
      <c r="O213" s="1801"/>
      <c r="P213" s="1801"/>
      <c r="Q213" s="1801"/>
      <c r="R213" s="1801"/>
      <c r="S213" s="1801"/>
      <c r="T213" s="1801"/>
      <c r="U213" s="1801"/>
      <c r="V213" s="1801"/>
      <c r="W213" s="1801"/>
      <c r="X213" s="1801"/>
      <c r="Y213" s="1801"/>
      <c r="Z213" s="1801"/>
      <c r="BC213" t="s">
        <v>535</v>
      </c>
      <c r="BN213" s="23" t="s">
        <v>50</v>
      </c>
      <c r="BT213" s="32" t="s">
        <v>205</v>
      </c>
    </row>
    <row r="214" spans="1:72" ht="12.95" customHeight="1">
      <c r="D214" s="3" t="s">
        <v>1833</v>
      </c>
      <c r="Z214" s="40"/>
      <c r="AB214" s="1800"/>
      <c r="AC214" s="1800"/>
      <c r="AD214" s="1800"/>
      <c r="AE214" s="1800"/>
      <c r="AF214" s="1800"/>
      <c r="AG214" s="1800"/>
      <c r="AH214" s="1800"/>
      <c r="AI214" s="1800"/>
      <c r="AJ214" s="1800"/>
      <c r="AK214" s="1800"/>
      <c r="AL214" s="1800"/>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1831</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645" t="s">
        <v>1130</v>
      </c>
      <c r="E219" s="1645"/>
      <c r="F219" s="1645"/>
      <c r="G219" s="1645"/>
      <c r="H219" s="1645"/>
      <c r="I219" s="1645"/>
      <c r="J219" s="1645"/>
      <c r="K219" s="1645"/>
      <c r="L219" s="1645"/>
      <c r="M219" s="1645"/>
      <c r="N219" s="1645"/>
      <c r="O219" s="1645"/>
      <c r="P219" s="1645"/>
      <c r="Q219" s="1645"/>
      <c r="R219" s="1645"/>
      <c r="S219" s="1645"/>
      <c r="T219" s="1645"/>
      <c r="U219" s="1645"/>
      <c r="V219" s="1645"/>
      <c r="W219" s="1645"/>
      <c r="X219" s="1645"/>
      <c r="Y219" s="1645"/>
      <c r="Z219" s="1645"/>
      <c r="AZ219" s="3"/>
      <c r="BA219" s="3"/>
      <c r="BC219" t="s">
        <v>378</v>
      </c>
    </row>
    <row r="220" spans="1:72" ht="12.95" customHeight="1">
      <c r="A220" s="2"/>
      <c r="B220" s="14"/>
      <c r="C220" s="2"/>
      <c r="BA220" s="3"/>
      <c r="BC220" t="s">
        <v>301</v>
      </c>
    </row>
    <row r="221" spans="1:72" ht="12.95" customHeight="1">
      <c r="A221" s="1636" t="s">
        <v>549</v>
      </c>
      <c r="B221" s="1636"/>
      <c r="C221" s="1636"/>
      <c r="D221" s="1636"/>
      <c r="E221" s="1636"/>
      <c r="F221" s="1636"/>
      <c r="G221" s="1636"/>
      <c r="H221" s="1636"/>
      <c r="I221" s="1636"/>
      <c r="J221" s="1636"/>
      <c r="K221" s="1636"/>
      <c r="L221" s="1636"/>
      <c r="M221" s="1636"/>
      <c r="N221" s="1636"/>
      <c r="O221" s="1636"/>
      <c r="P221" s="1636"/>
      <c r="Q221" s="1636"/>
      <c r="R221" s="1636"/>
      <c r="S221" s="1636"/>
      <c r="T221" s="1636"/>
      <c r="U221" s="1636"/>
      <c r="V221" s="1636"/>
      <c r="W221" s="1636"/>
      <c r="X221" s="1636"/>
      <c r="Y221" s="1636"/>
      <c r="Z221" s="1636"/>
      <c r="AA221" s="1636"/>
      <c r="AB221" s="1636"/>
      <c r="AC221" s="1636"/>
      <c r="AD221" s="1636"/>
      <c r="AE221" s="1636"/>
      <c r="AF221" s="1636"/>
      <c r="AG221" s="1636"/>
      <c r="AH221" s="1636"/>
      <c r="AI221" s="1636"/>
      <c r="AJ221" s="1636"/>
      <c r="AK221" s="1636"/>
      <c r="AL221" s="1636"/>
      <c r="AM221" s="95"/>
      <c r="AN221" s="95"/>
      <c r="AO221" s="95"/>
      <c r="AP221" s="95"/>
      <c r="AQ221" s="95"/>
      <c r="AR221" s="95"/>
      <c r="AS221" s="95"/>
      <c r="AT221" s="95"/>
      <c r="AU221" s="95"/>
      <c r="AV221" s="95"/>
      <c r="AW221" s="95"/>
      <c r="AX221" s="95"/>
      <c r="AY221" s="95"/>
      <c r="BA221" s="3"/>
    </row>
    <row r="222" spans="1:72" ht="12.95" customHeight="1" thickBot="1">
      <c r="A222" s="1637"/>
      <c r="B222" s="1637"/>
      <c r="C222" s="1637"/>
      <c r="D222" s="1637"/>
      <c r="E222" s="1637"/>
      <c r="F222" s="1637"/>
      <c r="G222" s="1637"/>
      <c r="H222" s="1637"/>
      <c r="I222" s="1637"/>
      <c r="J222" s="1637"/>
      <c r="K222" s="1637"/>
      <c r="L222" s="1637"/>
      <c r="M222" s="1637"/>
      <c r="N222" s="1637"/>
      <c r="O222" s="1637"/>
      <c r="P222" s="1637"/>
      <c r="Q222" s="1637"/>
      <c r="R222" s="1637"/>
      <c r="S222" s="1637"/>
      <c r="T222" s="1637"/>
      <c r="U222" s="1637"/>
      <c r="V222" s="1637"/>
      <c r="W222" s="1637"/>
      <c r="X222" s="1637"/>
      <c r="Y222" s="1637"/>
      <c r="Z222" s="1637"/>
      <c r="AA222" s="1637"/>
      <c r="AB222" s="1637"/>
      <c r="AC222" s="1637"/>
      <c r="AD222" s="1637"/>
      <c r="AE222" s="1637"/>
      <c r="AF222" s="1637"/>
      <c r="AG222" s="1637"/>
      <c r="AH222" s="1637"/>
      <c r="AI222" s="1637"/>
      <c r="AJ222" s="1637"/>
      <c r="AK222" s="1637"/>
      <c r="AL222" s="163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0" t="s">
        <v>600</v>
      </c>
      <c r="AJ225" s="1370"/>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0" t="s">
        <v>600</v>
      </c>
      <c r="AJ226" s="1370"/>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0" t="s">
        <v>554</v>
      </c>
      <c r="AJ227" s="1370"/>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0" t="s">
        <v>600</v>
      </c>
      <c r="AJ228" s="1370"/>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5"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66" t="str">
        <f>H16</f>
        <v>USA Properties Fund, Inc.</v>
      </c>
      <c r="N231" s="1766"/>
      <c r="O231" s="1766"/>
      <c r="P231" s="1766"/>
      <c r="Q231" s="1766"/>
      <c r="R231" s="1766"/>
      <c r="S231" s="1766"/>
      <c r="T231" s="1766"/>
      <c r="U231" s="1766"/>
      <c r="V231" s="1766"/>
      <c r="W231" s="1766"/>
      <c r="X231" s="1766"/>
      <c r="Y231" s="1766"/>
      <c r="Z231" s="1766"/>
      <c r="AA231" s="1766"/>
      <c r="AB231" s="1766"/>
      <c r="AC231" s="1766"/>
      <c r="AD231" s="1766"/>
      <c r="AE231" s="1766"/>
      <c r="AF231" s="1766"/>
      <c r="AG231" s="1766"/>
      <c r="AH231" s="1766"/>
      <c r="AI231" s="1766"/>
      <c r="AJ231" s="1766"/>
      <c r="AK231" s="1766"/>
      <c r="BA231" s="3"/>
      <c r="BB231" s="218"/>
      <c r="BG231" s="218"/>
      <c r="BQ231" s="34"/>
    </row>
    <row r="232" spans="1:69" ht="12.95" customHeight="1">
      <c r="D232" s="4" t="s">
        <v>86</v>
      </c>
      <c r="E232" s="4"/>
      <c r="F232" s="4"/>
      <c r="G232" s="4"/>
      <c r="H232" s="4"/>
      <c r="I232" s="4"/>
      <c r="J232" s="4"/>
      <c r="K232" s="4"/>
      <c r="M232" s="1594" t="s">
        <v>2665</v>
      </c>
      <c r="N232" s="1645"/>
      <c r="O232" s="1645"/>
      <c r="P232" s="1645"/>
      <c r="Q232" s="1645"/>
      <c r="R232" s="1645"/>
      <c r="S232" s="1645"/>
      <c r="T232" s="1645"/>
      <c r="U232" s="1645"/>
      <c r="V232" s="1645"/>
      <c r="W232" s="1645"/>
      <c r="X232" s="1645"/>
      <c r="Y232" s="1645"/>
      <c r="Z232" s="1645"/>
      <c r="AA232" s="1645"/>
      <c r="AB232" s="1645"/>
      <c r="AC232" s="1645"/>
      <c r="AD232" s="1645"/>
      <c r="AE232" s="1645"/>
      <c r="AZ232" s="4"/>
      <c r="BA232" s="3"/>
      <c r="BB232" s="219" t="s">
        <v>547</v>
      </c>
      <c r="BG232" s="259">
        <f>IF(AND(AND($M$248="nonprofit",$M$256="nonprofit",$M$264="for profit")),2,0)</f>
        <v>0</v>
      </c>
      <c r="BQ232" s="34"/>
    </row>
    <row r="233" spans="1:69" ht="12.95" customHeight="1">
      <c r="D233" s="4" t="s">
        <v>589</v>
      </c>
      <c r="E233" s="4"/>
      <c r="M233" s="1594" t="s">
        <v>2632</v>
      </c>
      <c r="N233" s="1645"/>
      <c r="O233" s="1645"/>
      <c r="P233" s="1645"/>
      <c r="Q233" s="1645"/>
      <c r="R233" s="1645"/>
      <c r="S233" s="1645"/>
      <c r="T233" s="1645"/>
      <c r="V233" s="33" t="s">
        <v>87</v>
      </c>
      <c r="W233" s="1623" t="s">
        <v>2630</v>
      </c>
      <c r="X233" s="1350"/>
      <c r="Y233" s="4" t="s">
        <v>592</v>
      </c>
      <c r="AC233" s="1645">
        <v>95661</v>
      </c>
      <c r="AD233" s="1645"/>
      <c r="AE233" s="1645"/>
      <c r="BB233" s="219" t="s">
        <v>547</v>
      </c>
      <c r="BG233" s="259">
        <f>IF(AND(AND($M$248="nonprofit",$M$256="for profit",$M$264="nonprofit")),2,0)</f>
        <v>0</v>
      </c>
    </row>
    <row r="234" spans="1:69" ht="12.95" customHeight="1">
      <c r="D234" s="4" t="s">
        <v>88</v>
      </c>
      <c r="E234" s="4"/>
      <c r="F234" s="4"/>
      <c r="G234" s="4"/>
      <c r="H234" s="4"/>
      <c r="I234" s="4"/>
      <c r="J234" s="4"/>
      <c r="K234" s="19"/>
      <c r="M234" s="1594" t="s">
        <v>2633</v>
      </c>
      <c r="N234" s="1645"/>
      <c r="O234" s="1645"/>
      <c r="P234" s="1645"/>
      <c r="Q234" s="1645"/>
      <c r="R234" s="1645"/>
      <c r="S234" s="1645"/>
      <c r="T234" s="1645"/>
      <c r="U234" s="1645"/>
      <c r="V234" s="1645"/>
      <c r="W234" s="1645"/>
      <c r="X234" s="1645"/>
      <c r="Y234" s="1645"/>
      <c r="Z234" s="1645"/>
      <c r="AA234" s="1645"/>
      <c r="AB234" s="1645"/>
      <c r="AC234" s="1645"/>
      <c r="AD234" s="1645"/>
      <c r="AE234" s="1645"/>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72">
        <v>9168653981</v>
      </c>
      <c r="N235" s="1372"/>
      <c r="O235" s="1372"/>
      <c r="P235" s="1372"/>
      <c r="Q235" s="1372"/>
      <c r="R235" s="1372"/>
      <c r="S235" s="4" t="s">
        <v>207</v>
      </c>
      <c r="T235" s="4"/>
      <c r="U235" s="1350"/>
      <c r="V235" s="1350"/>
      <c r="W235" s="1350"/>
      <c r="X235" s="4" t="s">
        <v>90</v>
      </c>
      <c r="Z235" s="1372"/>
      <c r="AA235" s="1372"/>
      <c r="AB235" s="1372"/>
      <c r="AC235" s="1372"/>
      <c r="AD235" s="1372"/>
      <c r="AE235" s="1372"/>
      <c r="BB235" s="219"/>
      <c r="BG235" s="218"/>
    </row>
    <row r="236" spans="1:69" ht="12.95" customHeight="1">
      <c r="D236" s="4" t="s">
        <v>91</v>
      </c>
      <c r="E236" s="4"/>
      <c r="F236" s="4"/>
      <c r="M236" s="1761" t="s">
        <v>2634</v>
      </c>
      <c r="N236" s="1761"/>
      <c r="O236" s="1761"/>
      <c r="P236" s="1761"/>
      <c r="Q236" s="1761"/>
      <c r="R236" s="1761"/>
      <c r="S236" s="1761"/>
      <c r="T236" s="1761"/>
      <c r="U236" s="1761"/>
      <c r="V236" s="1761"/>
      <c r="W236" s="1761"/>
      <c r="X236" s="1761"/>
      <c r="Y236" s="1761"/>
      <c r="Z236" s="1761"/>
      <c r="AA236" s="1761"/>
      <c r="AB236" s="1761"/>
      <c r="AC236" s="1761"/>
      <c r="AD236" s="1761"/>
      <c r="AE236" s="1761"/>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9" t="s">
        <v>535</v>
      </c>
      <c r="N237" s="1369"/>
      <c r="O237" s="1369"/>
      <c r="P237" s="1369"/>
      <c r="Q237" s="1369"/>
      <c r="R237" s="1369"/>
      <c r="S237" s="1369"/>
      <c r="T237" s="1369"/>
      <c r="U237" s="218" t="s">
        <v>939</v>
      </c>
      <c r="V237" s="218"/>
      <c r="W237" s="218"/>
      <c r="X237" s="218"/>
      <c r="Y237" s="218"/>
      <c r="Z237" s="218"/>
      <c r="AA237" s="1741" t="s">
        <v>2651</v>
      </c>
      <c r="AB237" s="1742"/>
      <c r="AC237" s="1742"/>
      <c r="AD237" s="1742"/>
      <c r="AE237" s="1742"/>
      <c r="AF237" s="1742"/>
      <c r="AG237" s="1742"/>
      <c r="AH237" s="1742"/>
      <c r="AI237" s="1742"/>
      <c r="AJ237" s="1742"/>
      <c r="AK237" s="1742"/>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52" t="s">
        <v>2624</v>
      </c>
      <c r="N242" s="1745"/>
      <c r="O242" s="1745"/>
      <c r="P242" s="1745"/>
      <c r="Q242" s="1745"/>
      <c r="R242" s="1745"/>
      <c r="S242" s="1745"/>
      <c r="T242" s="1745"/>
      <c r="U242" s="1745"/>
      <c r="V242" s="1745"/>
      <c r="W242" s="1745"/>
      <c r="X242" s="1745"/>
      <c r="Y242" s="1745"/>
      <c r="Z242" s="1745"/>
      <c r="AA242" s="1745"/>
      <c r="AB242" s="1745"/>
      <c r="AC242" s="1745"/>
      <c r="AD242" s="1745"/>
      <c r="AE242" s="1745"/>
      <c r="AF242" s="1745" t="s">
        <v>2625</v>
      </c>
      <c r="AG242" s="1745"/>
      <c r="AH242" s="1745"/>
      <c r="AI242" s="1745"/>
      <c r="AJ242" s="1745"/>
      <c r="AK242" s="1745"/>
      <c r="BO242" s="34"/>
      <c r="BP242" s="4"/>
      <c r="BQ242" s="4"/>
      <c r="BR242" s="4"/>
      <c r="BS242" s="4"/>
    </row>
    <row r="243" spans="1:71" ht="12.95" customHeight="1">
      <c r="A243" s="19"/>
      <c r="B243" s="4"/>
      <c r="C243" s="4"/>
      <c r="D243" s="4" t="s">
        <v>86</v>
      </c>
      <c r="E243" s="4"/>
      <c r="F243" s="4"/>
      <c r="G243" s="4"/>
      <c r="H243" s="4"/>
      <c r="I243" s="4"/>
      <c r="J243" s="4"/>
      <c r="K243" s="4"/>
      <c r="L243" s="4"/>
      <c r="M243" s="1594" t="s">
        <v>2631</v>
      </c>
      <c r="N243" s="1645"/>
      <c r="O243" s="1645"/>
      <c r="P243" s="1645"/>
      <c r="Q243" s="1645"/>
      <c r="R243" s="1645"/>
      <c r="S243" s="1645"/>
      <c r="T243" s="1645"/>
      <c r="U243" s="1645"/>
      <c r="V243" s="1645"/>
      <c r="W243" s="1645"/>
      <c r="X243" s="1645"/>
      <c r="Y243" s="1645"/>
      <c r="Z243" s="1645"/>
      <c r="AA243" s="1645"/>
      <c r="AB243" s="1645"/>
      <c r="AC243" s="1645"/>
      <c r="AD243" s="1645"/>
      <c r="AE243" s="1645"/>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594" t="s">
        <v>2632</v>
      </c>
      <c r="N244" s="1645"/>
      <c r="O244" s="1645"/>
      <c r="P244" s="1645"/>
      <c r="Q244" s="1645"/>
      <c r="R244" s="1645"/>
      <c r="S244" s="1645"/>
      <c r="T244" s="1645"/>
      <c r="V244" s="33" t="s">
        <v>87</v>
      </c>
      <c r="W244" s="1623" t="s">
        <v>2630</v>
      </c>
      <c r="X244" s="1350"/>
      <c r="Y244" s="4" t="s">
        <v>592</v>
      </c>
      <c r="AC244" s="1645">
        <v>95661</v>
      </c>
      <c r="AD244" s="1645"/>
      <c r="AE244" s="1645"/>
      <c r="AF244" s="3" t="s">
        <v>1323</v>
      </c>
      <c r="BB244" t="s">
        <v>308</v>
      </c>
      <c r="BG244">
        <v>1</v>
      </c>
      <c r="BH244" t="s">
        <v>543</v>
      </c>
    </row>
    <row r="245" spans="1:71" ht="12.95" customHeight="1">
      <c r="A245" s="19"/>
      <c r="B245" s="4"/>
      <c r="C245" s="4"/>
      <c r="D245" s="4" t="s">
        <v>88</v>
      </c>
      <c r="E245" s="4"/>
      <c r="F245" s="4"/>
      <c r="G245" s="4"/>
      <c r="H245" s="4"/>
      <c r="I245" s="4"/>
      <c r="J245" s="4"/>
      <c r="K245" s="4"/>
      <c r="L245" s="19"/>
      <c r="M245" s="1594" t="s">
        <v>2633</v>
      </c>
      <c r="N245" s="1645"/>
      <c r="O245" s="1645"/>
      <c r="P245" s="1645"/>
      <c r="Q245" s="1645"/>
      <c r="R245" s="1645"/>
      <c r="S245" s="1645"/>
      <c r="T245" s="1645"/>
      <c r="U245" s="1645"/>
      <c r="V245" s="1645"/>
      <c r="W245" s="1645"/>
      <c r="X245" s="1645"/>
      <c r="Y245" s="1645"/>
      <c r="Z245" s="1645"/>
      <c r="AA245" s="1645"/>
      <c r="AB245" s="1645"/>
      <c r="AC245" s="1645"/>
      <c r="AD245" s="1645"/>
      <c r="AE245" s="1645"/>
      <c r="AH245" s="1738">
        <v>8.9999999999999993E-3</v>
      </c>
      <c r="AI245" s="1738"/>
      <c r="AJ245" s="1738"/>
      <c r="AK245" s="1738"/>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5" customHeight="1">
      <c r="A246" s="19"/>
      <c r="B246" s="4"/>
      <c r="C246" s="4"/>
      <c r="D246" s="4" t="s">
        <v>89</v>
      </c>
      <c r="E246" s="4"/>
      <c r="F246" s="4"/>
      <c r="M246" s="1760" t="s">
        <v>2703</v>
      </c>
      <c r="N246" s="1372"/>
      <c r="O246" s="1372"/>
      <c r="P246" s="1372"/>
      <c r="Q246" s="1372"/>
      <c r="R246" s="1372"/>
      <c r="S246" s="4" t="s">
        <v>207</v>
      </c>
      <c r="T246" s="4"/>
      <c r="U246" s="1350"/>
      <c r="V246" s="1350"/>
      <c r="W246" s="1350"/>
      <c r="X246" s="4" t="s">
        <v>90</v>
      </c>
      <c r="Z246" s="1372"/>
      <c r="AA246" s="1372"/>
      <c r="AB246" s="1372"/>
      <c r="AC246" s="1372"/>
      <c r="AD246" s="1372"/>
      <c r="AE246" s="1372"/>
      <c r="BB246" s="4" t="s">
        <v>173</v>
      </c>
      <c r="BG246">
        <v>3</v>
      </c>
      <c r="BH246" t="s">
        <v>545</v>
      </c>
      <c r="BN246" s="34"/>
    </row>
    <row r="247" spans="1:71" ht="12.95" customHeight="1">
      <c r="A247" s="19"/>
      <c r="B247" s="4"/>
      <c r="C247" s="4"/>
      <c r="D247" s="4" t="s">
        <v>91</v>
      </c>
      <c r="E247" s="4"/>
      <c r="F247" s="4"/>
      <c r="M247" s="1761" t="s">
        <v>2634</v>
      </c>
      <c r="N247" s="1761"/>
      <c r="O247" s="1761"/>
      <c r="P247" s="1761"/>
      <c r="Q247" s="1761"/>
      <c r="R247" s="1761"/>
      <c r="S247" s="1761"/>
      <c r="T247" s="1761"/>
      <c r="U247" s="1761"/>
      <c r="V247" s="1761"/>
      <c r="W247" s="1761"/>
      <c r="X247" s="1761"/>
      <c r="Y247" s="1761"/>
      <c r="Z247" s="1761"/>
      <c r="AA247" s="1761"/>
      <c r="AB247" s="1761"/>
      <c r="AC247" s="1761"/>
      <c r="AD247" s="1761"/>
      <c r="AE247" s="1761"/>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9" t="s">
        <v>545</v>
      </c>
      <c r="N248" s="1369"/>
      <c r="O248" s="1369"/>
      <c r="P248" s="1369"/>
      <c r="Q248" s="1369"/>
      <c r="R248" s="1369"/>
      <c r="S248" s="1369"/>
      <c r="T248" s="1369"/>
      <c r="U248" s="218" t="s">
        <v>939</v>
      </c>
      <c r="V248" s="218"/>
      <c r="W248" s="218"/>
      <c r="X248" s="218"/>
      <c r="Y248" s="218"/>
      <c r="Z248" s="218"/>
      <c r="AA248" s="1741" t="s">
        <v>2624</v>
      </c>
      <c r="AB248" s="1742"/>
      <c r="AC248" s="1742"/>
      <c r="AD248" s="1742"/>
      <c r="AE248" s="1742"/>
      <c r="AF248" s="1742"/>
      <c r="AG248" s="1742"/>
      <c r="AH248" s="1742"/>
      <c r="AI248" s="1742"/>
      <c r="AJ248" s="1742"/>
      <c r="AK248" s="174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45" t="s">
        <v>2626</v>
      </c>
      <c r="N250" s="1745"/>
      <c r="O250" s="1745"/>
      <c r="P250" s="1745"/>
      <c r="Q250" s="1745"/>
      <c r="R250" s="1745"/>
      <c r="S250" s="1745"/>
      <c r="T250" s="1745"/>
      <c r="U250" s="1745"/>
      <c r="V250" s="1745"/>
      <c r="W250" s="1745"/>
      <c r="X250" s="1745"/>
      <c r="Y250" s="1745"/>
      <c r="Z250" s="1745"/>
      <c r="AA250" s="1745"/>
      <c r="AB250" s="1745"/>
      <c r="AC250" s="1745"/>
      <c r="AD250" s="1745"/>
      <c r="AE250" s="1745"/>
      <c r="AF250" s="1745" t="s">
        <v>2628</v>
      </c>
      <c r="AG250" s="1745"/>
      <c r="AH250" s="1745"/>
      <c r="AI250" s="1745"/>
      <c r="AJ250" s="1745"/>
      <c r="AK250" s="1745"/>
      <c r="BN250" s="34"/>
    </row>
    <row r="251" spans="1:71" ht="12.95" customHeight="1">
      <c r="A251" s="19"/>
      <c r="B251" s="4"/>
      <c r="C251" s="4"/>
      <c r="D251" s="4" t="s">
        <v>86</v>
      </c>
      <c r="E251" s="4"/>
      <c r="F251" s="4"/>
      <c r="G251" s="4"/>
      <c r="H251" s="4"/>
      <c r="I251" s="4"/>
      <c r="J251" s="4"/>
      <c r="K251" s="4"/>
      <c r="L251" s="4"/>
      <c r="M251" s="1645" t="s">
        <v>2627</v>
      </c>
      <c r="N251" s="1645"/>
      <c r="O251" s="1645"/>
      <c r="P251" s="1645"/>
      <c r="Q251" s="1645"/>
      <c r="R251" s="1645"/>
      <c r="S251" s="1645"/>
      <c r="T251" s="1645"/>
      <c r="U251" s="1645"/>
      <c r="V251" s="1645"/>
      <c r="W251" s="1645"/>
      <c r="X251" s="1645"/>
      <c r="Y251" s="1645"/>
      <c r="Z251" s="1645"/>
      <c r="AA251" s="1645"/>
      <c r="AB251" s="1645"/>
      <c r="AC251" s="1645"/>
      <c r="AD251" s="1645"/>
      <c r="AE251" s="1645"/>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94" t="s">
        <v>2629</v>
      </c>
      <c r="N252" s="1645"/>
      <c r="O252" s="1645"/>
      <c r="P252" s="1645"/>
      <c r="Q252" s="1645"/>
      <c r="R252" s="1645"/>
      <c r="S252" s="1645"/>
      <c r="T252" s="1645"/>
      <c r="V252" s="33" t="s">
        <v>87</v>
      </c>
      <c r="W252" s="1623" t="s">
        <v>2630</v>
      </c>
      <c r="X252" s="1350"/>
      <c r="Y252" s="4" t="s">
        <v>592</v>
      </c>
      <c r="AC252" s="1645">
        <v>92780</v>
      </c>
      <c r="AD252" s="1645"/>
      <c r="AE252" s="1645"/>
      <c r="AF252" s="3" t="s">
        <v>1323</v>
      </c>
      <c r="BN252" s="34"/>
    </row>
    <row r="253" spans="1:71" ht="12.95" customHeight="1">
      <c r="A253" s="19"/>
      <c r="B253" s="4"/>
      <c r="C253" s="4"/>
      <c r="D253" s="4" t="s">
        <v>88</v>
      </c>
      <c r="E253" s="4"/>
      <c r="F253" s="4"/>
      <c r="G253" s="4"/>
      <c r="H253" s="4"/>
      <c r="I253" s="4"/>
      <c r="J253" s="4"/>
      <c r="K253" s="4"/>
      <c r="L253" s="19"/>
      <c r="M253" s="1594" t="s">
        <v>2666</v>
      </c>
      <c r="N253" s="1645"/>
      <c r="O253" s="1645"/>
      <c r="P253" s="1645"/>
      <c r="Q253" s="1645"/>
      <c r="R253" s="1645"/>
      <c r="S253" s="1645"/>
      <c r="T253" s="1645"/>
      <c r="U253" s="1645"/>
      <c r="V253" s="1645"/>
      <c r="W253" s="1645"/>
      <c r="X253" s="1645"/>
      <c r="Y253" s="1645"/>
      <c r="Z253" s="1645"/>
      <c r="AA253" s="1645"/>
      <c r="AB253" s="1645"/>
      <c r="AC253" s="1645"/>
      <c r="AD253" s="1645"/>
      <c r="AE253" s="1645"/>
      <c r="AH253" s="1738">
        <v>1E-3</v>
      </c>
      <c r="AI253" s="1738"/>
      <c r="AJ253" s="1738"/>
      <c r="AK253" s="1738"/>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72">
        <v>7146281654</v>
      </c>
      <c r="N254" s="1372"/>
      <c r="O254" s="1372"/>
      <c r="P254" s="1372"/>
      <c r="Q254" s="1372"/>
      <c r="R254" s="1372"/>
      <c r="S254" s="4" t="s">
        <v>207</v>
      </c>
      <c r="T254" s="4"/>
      <c r="U254" s="1350"/>
      <c r="V254" s="1350"/>
      <c r="W254" s="1350"/>
      <c r="X254" s="4" t="s">
        <v>90</v>
      </c>
      <c r="Z254" s="1372"/>
      <c r="AA254" s="1372"/>
      <c r="AB254" s="1372"/>
      <c r="AC254" s="1372"/>
      <c r="AD254" s="1372"/>
      <c r="AE254" s="1372"/>
    </row>
    <row r="255" spans="1:71" ht="12.95" customHeight="1">
      <c r="A255" s="19"/>
      <c r="B255" s="4"/>
      <c r="C255" s="4"/>
      <c r="D255" s="4" t="s">
        <v>91</v>
      </c>
      <c r="E255" s="4"/>
      <c r="F255" s="4"/>
      <c r="M255" s="1761" t="s">
        <v>2667</v>
      </c>
      <c r="N255" s="1761"/>
      <c r="O255" s="1761"/>
      <c r="P255" s="1761"/>
      <c r="Q255" s="1761"/>
      <c r="R255" s="1761"/>
      <c r="S255" s="1761"/>
      <c r="T255" s="1761"/>
      <c r="U255" s="1761"/>
      <c r="V255" s="1761"/>
      <c r="W255" s="1761"/>
      <c r="X255" s="1761"/>
      <c r="Y255" s="1761"/>
      <c r="Z255" s="1761"/>
      <c r="AA255" s="1761"/>
      <c r="AB255" s="1761"/>
      <c r="AC255" s="1761"/>
      <c r="AD255" s="1761"/>
      <c r="AE255" s="1761"/>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9" t="s">
        <v>543</v>
      </c>
      <c r="N256" s="1369"/>
      <c r="O256" s="1369"/>
      <c r="P256" s="1369"/>
      <c r="Q256" s="1369"/>
      <c r="R256" s="1369"/>
      <c r="S256" s="1369"/>
      <c r="T256" s="1369"/>
      <c r="U256" s="218" t="s">
        <v>939</v>
      </c>
      <c r="V256" s="218"/>
      <c r="W256" s="218"/>
      <c r="X256" s="218"/>
      <c r="Y256" s="218"/>
      <c r="Z256" s="218"/>
      <c r="AA256" s="1741" t="s">
        <v>2651</v>
      </c>
      <c r="AB256" s="1742"/>
      <c r="AC256" s="1742"/>
      <c r="AD256" s="1742"/>
      <c r="AE256" s="1742"/>
      <c r="AF256" s="1742"/>
      <c r="AG256" s="1742"/>
      <c r="AH256" s="1742"/>
      <c r="AI256" s="1742"/>
      <c r="AJ256" s="1742"/>
      <c r="AK256" s="174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45"/>
      <c r="N258" s="1745"/>
      <c r="O258" s="1745"/>
      <c r="P258" s="1745"/>
      <c r="Q258" s="1745"/>
      <c r="R258" s="1745"/>
      <c r="S258" s="1745"/>
      <c r="T258" s="1745"/>
      <c r="U258" s="1745"/>
      <c r="V258" s="1745"/>
      <c r="W258" s="1745"/>
      <c r="X258" s="1745"/>
      <c r="Y258" s="1745"/>
      <c r="Z258" s="1745"/>
      <c r="AA258" s="1745"/>
      <c r="AB258" s="1745"/>
      <c r="AC258" s="1745"/>
      <c r="AD258" s="1745"/>
      <c r="AE258" s="1745"/>
      <c r="AF258" s="1745" t="s">
        <v>308</v>
      </c>
      <c r="AG258" s="1745"/>
      <c r="AH258" s="1745"/>
      <c r="AI258" s="1745"/>
      <c r="AJ258" s="1745"/>
      <c r="AK258" s="1745"/>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5"/>
      <c r="N259" s="1645"/>
      <c r="O259" s="1645"/>
      <c r="P259" s="1645"/>
      <c r="Q259" s="1645"/>
      <c r="R259" s="1645"/>
      <c r="S259" s="1645"/>
      <c r="T259" s="1645"/>
      <c r="U259" s="1645"/>
      <c r="V259" s="1645"/>
      <c r="W259" s="1645"/>
      <c r="X259" s="1645"/>
      <c r="Y259" s="1645"/>
      <c r="Z259" s="1645"/>
      <c r="AA259" s="1645"/>
      <c r="AB259" s="1645"/>
      <c r="AC259" s="1645"/>
      <c r="AD259" s="1645"/>
      <c r="AE259" s="1645"/>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45"/>
      <c r="N260" s="1645"/>
      <c r="O260" s="1645"/>
      <c r="P260" s="1645"/>
      <c r="Q260" s="1645"/>
      <c r="R260" s="1645"/>
      <c r="S260" s="1645"/>
      <c r="T260" s="1645"/>
      <c r="V260" s="33" t="s">
        <v>87</v>
      </c>
      <c r="W260" s="1350"/>
      <c r="X260" s="1350"/>
      <c r="Y260" s="4" t="s">
        <v>592</v>
      </c>
      <c r="AC260" s="1645"/>
      <c r="AD260" s="1645"/>
      <c r="AE260" s="1645"/>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5"/>
      <c r="N261" s="1645"/>
      <c r="O261" s="1645"/>
      <c r="P261" s="1645"/>
      <c r="Q261" s="1645"/>
      <c r="R261" s="1645"/>
      <c r="S261" s="1645"/>
      <c r="T261" s="1645"/>
      <c r="U261" s="1645"/>
      <c r="V261" s="1645"/>
      <c r="W261" s="1645"/>
      <c r="X261" s="1645"/>
      <c r="Y261" s="1645"/>
      <c r="Z261" s="1645"/>
      <c r="AA261" s="1645"/>
      <c r="AB261" s="1645"/>
      <c r="AC261" s="1645"/>
      <c r="AD261" s="1645"/>
      <c r="AE261" s="1645"/>
      <c r="AH261" s="1738"/>
      <c r="AI261" s="1738"/>
      <c r="AJ261" s="1738"/>
      <c r="AK261" s="1738"/>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72"/>
      <c r="N262" s="1372"/>
      <c r="O262" s="1372"/>
      <c r="P262" s="1372"/>
      <c r="Q262" s="1372"/>
      <c r="R262" s="1372"/>
      <c r="S262" s="4" t="s">
        <v>207</v>
      </c>
      <c r="T262" s="4"/>
      <c r="U262" s="1350"/>
      <c r="V262" s="1350"/>
      <c r="W262" s="1350"/>
      <c r="X262" s="4" t="s">
        <v>90</v>
      </c>
      <c r="Z262" s="1372"/>
      <c r="AA262" s="1372"/>
      <c r="AB262" s="1372"/>
      <c r="AC262" s="1372"/>
      <c r="AD262" s="1372"/>
      <c r="AE262" s="1372"/>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61"/>
      <c r="N263" s="1761"/>
      <c r="O263" s="1761"/>
      <c r="P263" s="1761"/>
      <c r="Q263" s="1761"/>
      <c r="R263" s="1761"/>
      <c r="S263" s="1761"/>
      <c r="T263" s="1761"/>
      <c r="U263" s="1761"/>
      <c r="V263" s="1761"/>
      <c r="W263" s="1761"/>
      <c r="X263" s="1761"/>
      <c r="Y263" s="1761"/>
      <c r="Z263" s="1761"/>
      <c r="AA263" s="1771"/>
      <c r="AB263" s="1771"/>
      <c r="AC263" s="1771"/>
      <c r="AD263" s="1771"/>
      <c r="AE263" s="177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9" t="s">
        <v>308</v>
      </c>
      <c r="N264" s="1369"/>
      <c r="O264" s="1369"/>
      <c r="P264" s="1369"/>
      <c r="Q264" s="1369"/>
      <c r="R264" s="1369"/>
      <c r="S264" s="1369"/>
      <c r="T264" s="1369"/>
      <c r="U264" s="218" t="s">
        <v>939</v>
      </c>
      <c r="V264" s="218"/>
      <c r="W264" s="218"/>
      <c r="X264" s="218"/>
      <c r="Y264" s="218"/>
      <c r="Z264" s="218"/>
      <c r="AA264" s="1739"/>
      <c r="AB264" s="1739"/>
      <c r="AC264" s="1739"/>
      <c r="AD264" s="1739"/>
      <c r="AE264" s="1739"/>
      <c r="AF264" s="1739"/>
      <c r="AG264" s="1739"/>
      <c r="AH264" s="1739"/>
      <c r="AI264" s="1739"/>
      <c r="AJ264" s="1739"/>
      <c r="AK264" s="173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770" t="str">
        <f>BO245</f>
        <v>Joint Venture</v>
      </c>
      <c r="U266" s="1770"/>
      <c r="V266" s="1770"/>
      <c r="W266" s="1770"/>
      <c r="X266" s="1770"/>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45" t="s">
        <v>173</v>
      </c>
      <c r="E269" s="1645"/>
      <c r="F269" s="1645"/>
      <c r="G269" s="1645"/>
      <c r="H269" s="1645"/>
      <c r="J269" t="s">
        <v>280</v>
      </c>
      <c r="X269" s="1631">
        <v>45056</v>
      </c>
      <c r="Y269" s="1631"/>
      <c r="Z269" s="1631"/>
      <c r="AA269" s="1631"/>
      <c r="AB269" s="1631"/>
      <c r="AC269" s="1631"/>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752" t="s">
        <v>2624</v>
      </c>
      <c r="M273" s="1745"/>
      <c r="N273" s="1745"/>
      <c r="O273" s="1745"/>
      <c r="P273" s="1745"/>
      <c r="Q273" s="1745"/>
      <c r="R273" s="1745"/>
      <c r="S273" s="1745"/>
      <c r="T273" s="1745"/>
      <c r="U273" s="1745"/>
      <c r="V273" s="1745"/>
      <c r="W273" s="1745"/>
      <c r="X273" s="1745"/>
      <c r="Y273" s="1745"/>
      <c r="Z273" s="1745"/>
      <c r="AA273" s="1745"/>
      <c r="AB273" s="1745"/>
      <c r="AC273" s="1745"/>
      <c r="AD273" s="1745"/>
      <c r="AE273" s="1745"/>
      <c r="AF273" s="1745"/>
      <c r="AG273" s="1745"/>
      <c r="AH273" s="1745"/>
      <c r="AI273" s="1745"/>
      <c r="AJ273" s="1745"/>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94" t="s">
        <v>2631</v>
      </c>
      <c r="M274" s="1645"/>
      <c r="N274" s="1645"/>
      <c r="O274" s="1645"/>
      <c r="P274" s="1645"/>
      <c r="Q274" s="1645"/>
      <c r="R274" s="1645"/>
      <c r="S274" s="1645"/>
      <c r="T274" s="1645"/>
      <c r="U274" s="1645"/>
      <c r="V274" s="1645"/>
      <c r="W274" s="1645"/>
      <c r="X274" s="1645"/>
      <c r="Y274" s="1645"/>
      <c r="Z274" s="1645"/>
      <c r="AA274" s="1645"/>
      <c r="AB274" s="1645"/>
      <c r="AC274" s="1645"/>
      <c r="AD274" s="1645"/>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94" t="s">
        <v>2632</v>
      </c>
      <c r="M275" s="1645"/>
      <c r="N275" s="1645"/>
      <c r="O275" s="1645"/>
      <c r="P275" s="1645"/>
      <c r="Q275" s="1645"/>
      <c r="R275" s="1645"/>
      <c r="S275" s="1645"/>
      <c r="U275" s="33" t="s">
        <v>87</v>
      </c>
      <c r="V275" s="1623" t="s">
        <v>2630</v>
      </c>
      <c r="W275" s="1350"/>
      <c r="X275" s="4" t="s">
        <v>592</v>
      </c>
      <c r="AB275" s="1645">
        <v>95661</v>
      </c>
      <c r="AC275" s="1645"/>
      <c r="AD275" s="1645"/>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94" t="s">
        <v>2633</v>
      </c>
      <c r="M276" s="1645"/>
      <c r="N276" s="1645"/>
      <c r="O276" s="1645"/>
      <c r="P276" s="1645"/>
      <c r="Q276" s="1645"/>
      <c r="R276" s="1645"/>
      <c r="S276" s="1645"/>
      <c r="T276" s="1645"/>
      <c r="U276" s="1645"/>
      <c r="V276" s="1645"/>
      <c r="W276" s="1645"/>
      <c r="X276" s="1645"/>
      <c r="Y276" s="1645"/>
      <c r="Z276" s="1645"/>
      <c r="AA276" s="1645"/>
      <c r="AB276" s="1645"/>
      <c r="AC276" s="1645"/>
      <c r="AD276" s="1645"/>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72">
        <v>9168653981</v>
      </c>
      <c r="M277" s="1372"/>
      <c r="N277" s="1372"/>
      <c r="O277" s="1372"/>
      <c r="P277" s="1372"/>
      <c r="Q277" s="1372"/>
      <c r="R277" s="4" t="s">
        <v>207</v>
      </c>
      <c r="S277" s="4"/>
      <c r="T277" s="1350"/>
      <c r="U277" s="1350"/>
      <c r="V277" s="1350"/>
      <c r="W277" s="4" t="s">
        <v>90</v>
      </c>
      <c r="Y277" s="1372"/>
      <c r="Z277" s="1372"/>
      <c r="AA277" s="1372"/>
      <c r="AB277" s="1372"/>
      <c r="AC277" s="1372"/>
      <c r="AD277" s="1372"/>
      <c r="BN277" s="34"/>
    </row>
    <row r="278" spans="1:66" ht="12.95" customHeight="1">
      <c r="D278" s="4" t="s">
        <v>91</v>
      </c>
      <c r="E278" s="4"/>
      <c r="F278" s="4"/>
      <c r="L278" s="1761" t="s">
        <v>2634</v>
      </c>
      <c r="M278" s="1761"/>
      <c r="N278" s="1761"/>
      <c r="O278" s="1761"/>
      <c r="P278" s="1761"/>
      <c r="Q278" s="1761"/>
      <c r="R278" s="1761"/>
      <c r="S278" s="1761"/>
      <c r="T278" s="1761"/>
      <c r="U278" s="1761"/>
      <c r="V278" s="1761"/>
      <c r="W278" s="1761"/>
      <c r="X278" s="1761"/>
      <c r="Y278" s="1761"/>
      <c r="Z278" s="1761"/>
      <c r="AA278" s="1761"/>
      <c r="AB278" s="1761"/>
      <c r="AC278" s="1761"/>
      <c r="AD278" s="1761"/>
      <c r="AF278" s="4"/>
      <c r="AG278" s="4"/>
      <c r="AH278" s="4"/>
      <c r="AI278" s="4"/>
      <c r="AJ278" s="4"/>
      <c r="BN278" s="34"/>
    </row>
    <row r="279" spans="1:66" ht="12.95" customHeight="1">
      <c r="D279" s="3" t="s">
        <v>632</v>
      </c>
      <c r="E279" s="3"/>
      <c r="F279" s="3"/>
      <c r="G279" s="3"/>
      <c r="H279" s="3"/>
      <c r="I279" s="3"/>
      <c r="L279" s="1623" t="s">
        <v>2635</v>
      </c>
      <c r="M279" s="1623"/>
      <c r="N279" s="1623"/>
      <c r="O279" s="1623"/>
      <c r="P279" s="1623"/>
      <c r="Q279" s="1623"/>
      <c r="R279" s="1623"/>
      <c r="S279" s="1623"/>
      <c r="T279" s="1623"/>
      <c r="U279" s="1623"/>
      <c r="V279" s="1623"/>
      <c r="W279" s="1623"/>
      <c r="X279" s="1623"/>
      <c r="Y279" s="1623"/>
      <c r="Z279" s="1623"/>
      <c r="AA279" s="1623"/>
      <c r="AB279" s="1623"/>
      <c r="AC279" s="1623"/>
      <c r="AD279" s="1623"/>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36" t="s">
        <v>550</v>
      </c>
      <c r="B281" s="1636"/>
      <c r="C281" s="1636"/>
      <c r="D281" s="1636"/>
      <c r="E281" s="1636"/>
      <c r="F281" s="1636"/>
      <c r="G281" s="1636"/>
      <c r="H281" s="1636"/>
      <c r="I281" s="1636"/>
      <c r="J281" s="1636"/>
      <c r="K281" s="1636"/>
      <c r="L281" s="1636"/>
      <c r="M281" s="1636"/>
      <c r="N281" s="1636"/>
      <c r="O281" s="1636"/>
      <c r="P281" s="1636"/>
      <c r="Q281" s="1636"/>
      <c r="R281" s="1636"/>
      <c r="S281" s="1636"/>
      <c r="T281" s="1636"/>
      <c r="U281" s="1636"/>
      <c r="V281" s="1636"/>
      <c r="W281" s="1636"/>
      <c r="X281" s="1636"/>
      <c r="Y281" s="1636"/>
      <c r="Z281" s="1636"/>
      <c r="AA281" s="1636"/>
      <c r="AB281" s="1636"/>
      <c r="AC281" s="1636"/>
      <c r="AD281" s="1636"/>
      <c r="AE281" s="1636"/>
      <c r="AF281" s="1636"/>
      <c r="AG281" s="1636"/>
      <c r="AH281" s="1636"/>
      <c r="AI281" s="1636"/>
      <c r="AJ281" s="1636"/>
      <c r="AK281" s="1636"/>
      <c r="AL281" s="1636"/>
      <c r="AM281" s="95"/>
      <c r="AN281" s="95"/>
      <c r="AO281" s="95"/>
      <c r="AP281" s="95"/>
      <c r="AQ281" s="95"/>
      <c r="AR281" s="95"/>
      <c r="AS281" s="95"/>
      <c r="AT281" s="95"/>
      <c r="AU281" s="95"/>
      <c r="AV281" s="95"/>
      <c r="AW281" s="95"/>
      <c r="AX281" s="95"/>
      <c r="AY281" s="95"/>
      <c r="BN281" s="34"/>
    </row>
    <row r="282" spans="1:66" ht="12.95" customHeight="1" thickBot="1">
      <c r="A282" s="1637"/>
      <c r="B282" s="1637"/>
      <c r="C282" s="1637"/>
      <c r="D282" s="1637"/>
      <c r="E282" s="1637"/>
      <c r="F282" s="1637"/>
      <c r="G282" s="1637"/>
      <c r="H282" s="1637"/>
      <c r="I282" s="1637"/>
      <c r="J282" s="1637"/>
      <c r="K282" s="1637"/>
      <c r="L282" s="1637"/>
      <c r="M282" s="1637"/>
      <c r="N282" s="1637"/>
      <c r="O282" s="1637"/>
      <c r="P282" s="1637"/>
      <c r="Q282" s="1637"/>
      <c r="R282" s="1637"/>
      <c r="S282" s="1637"/>
      <c r="T282" s="1637"/>
      <c r="U282" s="1637"/>
      <c r="V282" s="1637"/>
      <c r="W282" s="1637"/>
      <c r="X282" s="1637"/>
      <c r="Y282" s="1637"/>
      <c r="Z282" s="1637"/>
      <c r="AA282" s="1637"/>
      <c r="AB282" s="1637"/>
      <c r="AC282" s="1637"/>
      <c r="AD282" s="1637"/>
      <c r="AE282" s="1637"/>
      <c r="AF282" s="1637"/>
      <c r="AG282" s="1637"/>
      <c r="AH282" s="1637"/>
      <c r="AI282" s="1637"/>
      <c r="AJ282" s="1637"/>
      <c r="AK282" s="1637"/>
      <c r="AL282" s="163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2" t="s">
        <v>2652</v>
      </c>
      <c r="I286" s="1352"/>
      <c r="J286" s="1352"/>
      <c r="K286" s="1352"/>
      <c r="L286" s="1352"/>
      <c r="M286" s="1352"/>
      <c r="N286" s="1352"/>
      <c r="O286" s="1352"/>
      <c r="P286" s="1352"/>
      <c r="Q286" s="1352"/>
      <c r="R286" s="1352"/>
      <c r="T286" s="3" t="s">
        <v>576</v>
      </c>
      <c r="V286" s="3"/>
      <c r="W286" s="3"/>
      <c r="X286" s="3"/>
      <c r="Y286" s="3"/>
      <c r="AA286" s="1352" t="s">
        <v>2668</v>
      </c>
      <c r="AB286" s="1352"/>
      <c r="AC286" s="1352"/>
      <c r="AD286" s="1352"/>
      <c r="AE286" s="1352"/>
      <c r="AF286" s="1352"/>
      <c r="AG286" s="1352"/>
      <c r="AH286" s="1352"/>
      <c r="AI286" s="1352"/>
      <c r="AJ286" s="1352"/>
      <c r="AK286" s="1352"/>
      <c r="BN286" s="34"/>
    </row>
    <row r="287" spans="1:66" ht="12.95" customHeight="1">
      <c r="B287" s="3" t="s">
        <v>480</v>
      </c>
      <c r="C287" s="3"/>
      <c r="D287" s="3"/>
      <c r="E287" s="3"/>
      <c r="F287" s="3"/>
      <c r="H287" s="1369" t="s">
        <v>2653</v>
      </c>
      <c r="I287" s="1369"/>
      <c r="J287" s="1369"/>
      <c r="K287" s="1369"/>
      <c r="L287" s="1369"/>
      <c r="M287" s="1369"/>
      <c r="N287" s="1369"/>
      <c r="O287" s="1369"/>
      <c r="P287" s="1369"/>
      <c r="Q287" s="1369"/>
      <c r="R287" s="1369"/>
      <c r="T287" s="3" t="s">
        <v>480</v>
      </c>
      <c r="V287" s="3"/>
      <c r="W287" s="3"/>
      <c r="X287" s="3"/>
      <c r="Y287" s="3"/>
      <c r="AA287" s="1369" t="s">
        <v>2669</v>
      </c>
      <c r="AB287" s="1369"/>
      <c r="AC287" s="1369"/>
      <c r="AD287" s="1369"/>
      <c r="AE287" s="1369"/>
      <c r="AF287" s="1369"/>
      <c r="AG287" s="1369"/>
      <c r="AH287" s="1369"/>
      <c r="AI287" s="1369"/>
      <c r="AJ287" s="1369"/>
      <c r="AK287" s="1369"/>
      <c r="BN287" s="34"/>
    </row>
    <row r="288" spans="1:66" ht="12.95" customHeight="1">
      <c r="B288" s="3" t="s">
        <v>481</v>
      </c>
      <c r="C288" s="3"/>
      <c r="D288" s="3"/>
      <c r="E288" s="3"/>
      <c r="F288" s="3"/>
      <c r="H288" s="1369" t="s">
        <v>2645</v>
      </c>
      <c r="I288" s="1369"/>
      <c r="J288" s="1369"/>
      <c r="K288" s="1369"/>
      <c r="L288" s="1369"/>
      <c r="M288" s="1369"/>
      <c r="N288" s="1369"/>
      <c r="O288" s="1369"/>
      <c r="P288" s="1369"/>
      <c r="Q288" s="1369"/>
      <c r="R288" s="1369"/>
      <c r="T288" s="3" t="s">
        <v>76</v>
      </c>
      <c r="V288" s="3"/>
      <c r="W288" s="3"/>
      <c r="X288" s="3"/>
      <c r="Y288" s="3"/>
      <c r="AA288" s="1369" t="s">
        <v>2670</v>
      </c>
      <c r="AB288" s="1369"/>
      <c r="AC288" s="1369"/>
      <c r="AD288" s="1369"/>
      <c r="AE288" s="1369"/>
      <c r="AF288" s="1369"/>
      <c r="AG288" s="1369"/>
      <c r="AH288" s="1369"/>
      <c r="AI288" s="1369"/>
      <c r="AJ288" s="1369"/>
      <c r="AK288" s="1369"/>
      <c r="BN288" s="34"/>
    </row>
    <row r="289" spans="2:66" ht="12.95" customHeight="1">
      <c r="B289" s="3" t="s">
        <v>88</v>
      </c>
      <c r="C289" s="3"/>
      <c r="D289" s="3"/>
      <c r="E289" s="3"/>
      <c r="F289" s="3"/>
      <c r="H289" s="1369" t="s">
        <v>2654</v>
      </c>
      <c r="I289" s="1369"/>
      <c r="J289" s="1369"/>
      <c r="K289" s="1369"/>
      <c r="L289" s="1369"/>
      <c r="M289" s="1369"/>
      <c r="N289" s="1369"/>
      <c r="O289" s="1369"/>
      <c r="P289" s="1369"/>
      <c r="Q289" s="1369"/>
      <c r="R289" s="1369"/>
      <c r="T289" s="3" t="s">
        <v>88</v>
      </c>
      <c r="V289" s="3"/>
      <c r="W289" s="3"/>
      <c r="X289" s="3"/>
      <c r="Y289" s="3"/>
      <c r="AA289" s="1369" t="s">
        <v>2671</v>
      </c>
      <c r="AB289" s="1369"/>
      <c r="AC289" s="1369"/>
      <c r="AD289" s="1369"/>
      <c r="AE289" s="1369"/>
      <c r="AF289" s="1369"/>
      <c r="AG289" s="1369"/>
      <c r="AH289" s="1369"/>
      <c r="AI289" s="1369"/>
      <c r="AJ289" s="1369"/>
      <c r="AK289" s="1369"/>
      <c r="BN289" s="34"/>
    </row>
    <row r="290" spans="2:66" ht="12.95" customHeight="1">
      <c r="B290" s="3" t="s">
        <v>89</v>
      </c>
      <c r="C290" s="3"/>
      <c r="D290" s="3"/>
      <c r="E290" s="3"/>
      <c r="F290" s="3"/>
      <c r="G290" s="3"/>
      <c r="H290" s="1646">
        <v>9167736060</v>
      </c>
      <c r="I290" s="1646"/>
      <c r="J290" s="1646"/>
      <c r="K290" s="1646"/>
      <c r="L290" s="1646"/>
      <c r="M290" s="1646"/>
      <c r="N290" s="4" t="s">
        <v>207</v>
      </c>
      <c r="O290" s="4"/>
      <c r="P290" s="1645"/>
      <c r="Q290" s="1645"/>
      <c r="R290" s="1645"/>
      <c r="S290" s="3"/>
      <c r="T290" s="3" t="s">
        <v>89</v>
      </c>
      <c r="V290" s="3"/>
      <c r="W290" s="3"/>
      <c r="X290" s="3"/>
      <c r="Y290" s="3"/>
      <c r="AA290" s="1646">
        <v>7149559537</v>
      </c>
      <c r="AB290" s="1646"/>
      <c r="AC290" s="1646"/>
      <c r="AD290" s="1646"/>
      <c r="AE290" s="1646"/>
      <c r="AF290" s="1646"/>
      <c r="AG290" s="4" t="s">
        <v>207</v>
      </c>
      <c r="AH290" s="4"/>
      <c r="AI290" s="1645"/>
      <c r="AJ290" s="1645"/>
      <c r="AK290" s="1645"/>
      <c r="BN290" s="34"/>
    </row>
    <row r="291" spans="2:66" ht="12.95" customHeight="1">
      <c r="B291" s="3" t="s">
        <v>90</v>
      </c>
      <c r="C291" s="3"/>
      <c r="D291" s="3"/>
      <c r="E291" s="3"/>
      <c r="F291" s="3"/>
      <c r="G291" s="3"/>
      <c r="H291" s="1372">
        <v>9167735866</v>
      </c>
      <c r="I291" s="1372"/>
      <c r="J291" s="1372"/>
      <c r="K291" s="1372"/>
      <c r="L291" s="1372"/>
      <c r="M291" s="1372"/>
      <c r="N291" s="4"/>
      <c r="O291" s="4"/>
      <c r="P291" s="35"/>
      <c r="Q291" s="35"/>
      <c r="R291" s="35"/>
      <c r="S291" s="3"/>
      <c r="T291" s="3" t="s">
        <v>90</v>
      </c>
      <c r="V291" s="3"/>
      <c r="W291" s="3"/>
      <c r="X291" s="3"/>
      <c r="Y291" s="3"/>
      <c r="AA291" s="1760" t="s">
        <v>600</v>
      </c>
      <c r="AB291" s="1372"/>
      <c r="AC291" s="1372"/>
      <c r="AD291" s="1372"/>
      <c r="AE291" s="1372"/>
      <c r="AF291" s="1372"/>
      <c r="AG291" s="4"/>
      <c r="AH291" s="4"/>
      <c r="AI291" s="35"/>
      <c r="AJ291" s="35"/>
      <c r="AK291" s="35"/>
      <c r="BN291" s="34"/>
    </row>
    <row r="292" spans="2:66" ht="12.95" customHeight="1">
      <c r="B292" s="3" t="s">
        <v>77</v>
      </c>
      <c r="C292" s="3"/>
      <c r="D292" s="3"/>
      <c r="E292" s="3"/>
      <c r="F292" s="3"/>
      <c r="G292" s="3"/>
      <c r="H292" s="1369" t="s">
        <v>2655</v>
      </c>
      <c r="I292" s="1369"/>
      <c r="J292" s="1369"/>
      <c r="K292" s="1369"/>
      <c r="L292" s="1369"/>
      <c r="M292" s="1369"/>
      <c r="N292" s="1352"/>
      <c r="O292" s="1352"/>
      <c r="P292" s="1352"/>
      <c r="Q292" s="1352"/>
      <c r="R292" s="1352"/>
      <c r="S292" s="3"/>
      <c r="T292" s="3" t="s">
        <v>77</v>
      </c>
      <c r="V292" s="3"/>
      <c r="W292" s="3"/>
      <c r="X292" s="3"/>
      <c r="Y292" s="3"/>
      <c r="AA292" s="1369" t="s">
        <v>2672</v>
      </c>
      <c r="AB292" s="1369"/>
      <c r="AC292" s="1369"/>
      <c r="AD292" s="1369"/>
      <c r="AE292" s="1369"/>
      <c r="AF292" s="1369"/>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52" t="s">
        <v>2676</v>
      </c>
      <c r="I294" s="1352"/>
      <c r="J294" s="1352"/>
      <c r="K294" s="1352"/>
      <c r="L294" s="1352"/>
      <c r="M294" s="1352"/>
      <c r="N294" s="1352"/>
      <c r="O294" s="1352"/>
      <c r="P294" s="1352"/>
      <c r="Q294" s="1352"/>
      <c r="R294" s="1352"/>
      <c r="T294" s="3" t="s">
        <v>365</v>
      </c>
      <c r="V294" s="3"/>
      <c r="W294" s="3"/>
      <c r="X294" s="3"/>
      <c r="Y294" s="3"/>
      <c r="AA294" s="1352" t="s">
        <v>2673</v>
      </c>
      <c r="AB294" s="1352"/>
      <c r="AC294" s="1352"/>
      <c r="AD294" s="1352"/>
      <c r="AE294" s="1352"/>
      <c r="AF294" s="1352"/>
      <c r="AG294" s="1352"/>
      <c r="AH294" s="1352"/>
      <c r="AI294" s="1352"/>
      <c r="AJ294" s="1352"/>
      <c r="AK294" s="1352"/>
      <c r="BN294" s="34"/>
    </row>
    <row r="295" spans="2:66" ht="12.95" customHeight="1">
      <c r="B295" s="3" t="s">
        <v>480</v>
      </c>
      <c r="C295" s="3"/>
      <c r="D295" s="3"/>
      <c r="E295" s="3"/>
      <c r="F295" s="3"/>
      <c r="H295" s="1369" t="s">
        <v>2677</v>
      </c>
      <c r="I295" s="1369"/>
      <c r="J295" s="1369"/>
      <c r="K295" s="1369"/>
      <c r="L295" s="1369"/>
      <c r="M295" s="1369"/>
      <c r="N295" s="1369"/>
      <c r="O295" s="1369"/>
      <c r="P295" s="1369"/>
      <c r="Q295" s="1369"/>
      <c r="R295" s="1369"/>
      <c r="T295" s="3" t="s">
        <v>480</v>
      </c>
      <c r="V295" s="3"/>
      <c r="W295" s="3"/>
      <c r="X295" s="3"/>
      <c r="Y295" s="3"/>
      <c r="AA295" s="1369" t="s">
        <v>2631</v>
      </c>
      <c r="AB295" s="1369"/>
      <c r="AC295" s="1369"/>
      <c r="AD295" s="1369"/>
      <c r="AE295" s="1369"/>
      <c r="AF295" s="1369"/>
      <c r="AG295" s="1369"/>
      <c r="AH295" s="1369"/>
      <c r="AI295" s="1369"/>
      <c r="AJ295" s="1369"/>
      <c r="AK295" s="1369"/>
      <c r="BN295" s="34"/>
    </row>
    <row r="296" spans="2:66" ht="12.95" customHeight="1">
      <c r="B296" s="3" t="s">
        <v>481</v>
      </c>
      <c r="C296" s="3"/>
      <c r="D296" s="3"/>
      <c r="E296" s="3"/>
      <c r="F296" s="3"/>
      <c r="H296" s="1369" t="s">
        <v>2678</v>
      </c>
      <c r="I296" s="1369"/>
      <c r="J296" s="1369"/>
      <c r="K296" s="1369"/>
      <c r="L296" s="1369"/>
      <c r="M296" s="1369"/>
      <c r="N296" s="1369"/>
      <c r="O296" s="1369"/>
      <c r="P296" s="1369"/>
      <c r="Q296" s="1369"/>
      <c r="R296" s="1369"/>
      <c r="T296" s="3" t="s">
        <v>76</v>
      </c>
      <c r="V296" s="3"/>
      <c r="W296" s="3"/>
      <c r="X296" s="3"/>
      <c r="Y296" s="3"/>
      <c r="AA296" s="1369" t="s">
        <v>2645</v>
      </c>
      <c r="AB296" s="1369"/>
      <c r="AC296" s="1369"/>
      <c r="AD296" s="1369"/>
      <c r="AE296" s="1369"/>
      <c r="AF296" s="1369"/>
      <c r="AG296" s="1369"/>
      <c r="AH296" s="1369"/>
      <c r="AI296" s="1369"/>
      <c r="AJ296" s="1369"/>
      <c r="AK296" s="1369"/>
      <c r="BN296" s="34"/>
    </row>
    <row r="297" spans="2:66" ht="12.95" customHeight="1">
      <c r="B297" s="3" t="s">
        <v>88</v>
      </c>
      <c r="C297" s="3"/>
      <c r="D297" s="3"/>
      <c r="E297" s="3"/>
      <c r="F297" s="3"/>
      <c r="H297" s="1369" t="s">
        <v>2679</v>
      </c>
      <c r="I297" s="1369"/>
      <c r="J297" s="1369"/>
      <c r="K297" s="1369"/>
      <c r="L297" s="1369"/>
      <c r="M297" s="1369"/>
      <c r="N297" s="1369"/>
      <c r="O297" s="1369"/>
      <c r="P297" s="1369"/>
      <c r="Q297" s="1369"/>
      <c r="R297" s="1369"/>
      <c r="T297" s="3" t="s">
        <v>88</v>
      </c>
      <c r="V297" s="3"/>
      <c r="W297" s="3"/>
      <c r="X297" s="3"/>
      <c r="Y297" s="3"/>
      <c r="AA297" s="1369" t="s">
        <v>2674</v>
      </c>
      <c r="AB297" s="1369"/>
      <c r="AC297" s="1369"/>
      <c r="AD297" s="1369"/>
      <c r="AE297" s="1369"/>
      <c r="AF297" s="1369"/>
      <c r="AG297" s="1369"/>
      <c r="AH297" s="1369"/>
      <c r="AI297" s="1369"/>
      <c r="AJ297" s="1369"/>
      <c r="AK297" s="1369"/>
      <c r="BN297" s="34"/>
    </row>
    <row r="298" spans="2:66" ht="12.95" customHeight="1">
      <c r="B298" s="3" t="s">
        <v>89</v>
      </c>
      <c r="C298" s="3"/>
      <c r="D298" s="3"/>
      <c r="E298" s="3"/>
      <c r="F298" s="3"/>
      <c r="G298" s="3"/>
      <c r="H298" s="1646">
        <v>2132398048</v>
      </c>
      <c r="I298" s="1646"/>
      <c r="J298" s="1646"/>
      <c r="K298" s="1646"/>
      <c r="L298" s="1646"/>
      <c r="M298" s="1646"/>
      <c r="N298" s="4" t="s">
        <v>207</v>
      </c>
      <c r="O298" s="4"/>
      <c r="P298" s="1645"/>
      <c r="Q298" s="1645"/>
      <c r="R298" s="1645"/>
      <c r="S298" s="3"/>
      <c r="T298" s="3" t="s">
        <v>89</v>
      </c>
      <c r="V298" s="3"/>
      <c r="W298" s="3"/>
      <c r="X298" s="3"/>
      <c r="Y298" s="3"/>
      <c r="AA298" s="1841">
        <v>9167243856</v>
      </c>
      <c r="AB298" s="1841"/>
      <c r="AC298" s="1841"/>
      <c r="AD298" s="1841"/>
      <c r="AE298" s="1841"/>
      <c r="AF298" s="1841"/>
      <c r="AG298" s="4" t="s">
        <v>207</v>
      </c>
      <c r="AH298" s="4"/>
      <c r="AI298" s="1645"/>
      <c r="AJ298" s="1645"/>
      <c r="AK298" s="1645"/>
      <c r="BN298" s="34"/>
    </row>
    <row r="299" spans="2:66" ht="12.95" customHeight="1">
      <c r="B299" s="3" t="s">
        <v>90</v>
      </c>
      <c r="C299" s="3"/>
      <c r="D299" s="3"/>
      <c r="E299" s="3"/>
      <c r="F299" s="3"/>
      <c r="G299" s="3"/>
      <c r="H299" s="1372">
        <v>2132390410</v>
      </c>
      <c r="I299" s="1372"/>
      <c r="J299" s="1372"/>
      <c r="K299" s="1372"/>
      <c r="L299" s="1372"/>
      <c r="M299" s="1372"/>
      <c r="N299" s="4"/>
      <c r="O299" s="4"/>
      <c r="P299" s="35"/>
      <c r="Q299" s="35"/>
      <c r="R299" s="35"/>
      <c r="S299" s="3"/>
      <c r="T299" s="3" t="s">
        <v>90</v>
      </c>
      <c r="V299" s="3"/>
      <c r="W299" s="3"/>
      <c r="X299" s="3"/>
      <c r="Y299" s="3"/>
      <c r="AA299" s="1760">
        <v>9167735866</v>
      </c>
      <c r="AB299" s="1760"/>
      <c r="AC299" s="1760"/>
      <c r="AD299" s="1760"/>
      <c r="AE299" s="1760"/>
      <c r="AF299" s="1760"/>
      <c r="AG299" s="4"/>
      <c r="AH299" s="4"/>
      <c r="AI299" s="35"/>
      <c r="AJ299" s="35"/>
      <c r="AK299" s="35"/>
      <c r="BN299" s="34"/>
    </row>
    <row r="300" spans="2:66" ht="12.95" customHeight="1">
      <c r="B300" s="3" t="s">
        <v>77</v>
      </c>
      <c r="C300" s="3"/>
      <c r="D300" s="3"/>
      <c r="E300" s="3"/>
      <c r="F300" s="3"/>
      <c r="G300" s="3"/>
      <c r="H300" s="1369" t="s">
        <v>2680</v>
      </c>
      <c r="I300" s="1369"/>
      <c r="J300" s="1369"/>
      <c r="K300" s="1369"/>
      <c r="L300" s="1369"/>
      <c r="M300" s="1369"/>
      <c r="N300" s="1352"/>
      <c r="O300" s="1352"/>
      <c r="P300" s="1352"/>
      <c r="Q300" s="1352"/>
      <c r="R300" s="1352"/>
      <c r="S300" s="3"/>
      <c r="T300" s="3" t="s">
        <v>77</v>
      </c>
      <c r="V300" s="3"/>
      <c r="W300" s="3"/>
      <c r="X300" s="3"/>
      <c r="Y300" s="3"/>
      <c r="AA300" s="1369" t="s">
        <v>2675</v>
      </c>
      <c r="AB300" s="1369"/>
      <c r="AC300" s="1369"/>
      <c r="AD300" s="1369"/>
      <c r="AE300" s="1369"/>
      <c r="AF300" s="1369"/>
      <c r="AG300" s="1352"/>
      <c r="AH300" s="1352"/>
      <c r="AI300" s="1352"/>
      <c r="AJ300" s="1352"/>
      <c r="AK300" s="1352"/>
      <c r="BN300" s="34"/>
    </row>
    <row r="301" spans="2:66" ht="12.95" customHeight="1">
      <c r="BN301" s="34"/>
    </row>
    <row r="302" spans="2:66" ht="12.95" customHeight="1">
      <c r="B302" s="3" t="s">
        <v>78</v>
      </c>
      <c r="C302" s="3"/>
      <c r="D302" s="3"/>
      <c r="E302" s="3"/>
      <c r="F302" s="3"/>
      <c r="H302" s="1352" t="s">
        <v>2651</v>
      </c>
      <c r="I302" s="1352"/>
      <c r="J302" s="1352"/>
      <c r="K302" s="1352"/>
      <c r="L302" s="1352"/>
      <c r="M302" s="1352"/>
      <c r="N302" s="1352"/>
      <c r="O302" s="1352"/>
      <c r="P302" s="1352"/>
      <c r="Q302" s="1352"/>
      <c r="R302" s="1352"/>
      <c r="T302" s="4" t="s">
        <v>907</v>
      </c>
      <c r="V302" s="3"/>
      <c r="W302" s="3"/>
      <c r="X302" s="3"/>
      <c r="Y302" s="3"/>
      <c r="AA302" s="1352" t="s">
        <v>2651</v>
      </c>
      <c r="AB302" s="1352"/>
      <c r="AC302" s="1352"/>
      <c r="AD302" s="1352"/>
      <c r="AE302" s="1352"/>
      <c r="AF302" s="1352"/>
      <c r="AG302" s="1352"/>
      <c r="AH302" s="1352"/>
      <c r="AI302" s="1352"/>
      <c r="AJ302" s="1352"/>
      <c r="AK302" s="1352"/>
      <c r="BN302" s="34"/>
    </row>
    <row r="303" spans="2:66" ht="12.95" customHeight="1">
      <c r="B303" s="3" t="s">
        <v>480</v>
      </c>
      <c r="C303" s="3"/>
      <c r="D303" s="3"/>
      <c r="E303" s="3"/>
      <c r="F303" s="3"/>
      <c r="H303" s="1369"/>
      <c r="I303" s="1369"/>
      <c r="J303" s="1369"/>
      <c r="K303" s="1369"/>
      <c r="L303" s="1369"/>
      <c r="M303" s="1369"/>
      <c r="N303" s="1369"/>
      <c r="O303" s="1369"/>
      <c r="P303" s="1369"/>
      <c r="Q303" s="1369"/>
      <c r="R303" s="1369"/>
      <c r="T303" s="3" t="s">
        <v>480</v>
      </c>
      <c r="V303" s="3"/>
      <c r="W303" s="3"/>
      <c r="X303" s="3"/>
      <c r="Y303" s="3"/>
      <c r="AA303" s="1369"/>
      <c r="AB303" s="1369"/>
      <c r="AC303" s="1369"/>
      <c r="AD303" s="1369"/>
      <c r="AE303" s="1369"/>
      <c r="AF303" s="1369"/>
      <c r="AG303" s="1369"/>
      <c r="AH303" s="1369"/>
      <c r="AI303" s="1369"/>
      <c r="AJ303" s="1369"/>
      <c r="AK303" s="1369"/>
      <c r="BN303" s="34"/>
    </row>
    <row r="304" spans="2:66" ht="12.95" customHeight="1">
      <c r="B304" s="3" t="s">
        <v>481</v>
      </c>
      <c r="C304" s="3"/>
      <c r="D304" s="3"/>
      <c r="E304" s="3"/>
      <c r="F304" s="3"/>
      <c r="H304" s="1369"/>
      <c r="I304" s="1369"/>
      <c r="J304" s="1369"/>
      <c r="K304" s="1369"/>
      <c r="L304" s="1369"/>
      <c r="M304" s="1369"/>
      <c r="N304" s="1369"/>
      <c r="O304" s="1369"/>
      <c r="P304" s="1369"/>
      <c r="Q304" s="1369"/>
      <c r="R304" s="1369"/>
      <c r="T304" s="3" t="s">
        <v>76</v>
      </c>
      <c r="V304" s="3"/>
      <c r="W304" s="3"/>
      <c r="X304" s="3"/>
      <c r="Y304" s="3"/>
      <c r="AA304" s="1369"/>
      <c r="AB304" s="1369"/>
      <c r="AC304" s="1369"/>
      <c r="AD304" s="1369"/>
      <c r="AE304" s="1369"/>
      <c r="AF304" s="1369"/>
      <c r="AG304" s="1369"/>
      <c r="AH304" s="1369"/>
      <c r="AI304" s="1369"/>
      <c r="AJ304" s="1369"/>
      <c r="AK304" s="1369"/>
      <c r="BN304" s="34"/>
    </row>
    <row r="305" spans="2:66" ht="12.95" customHeight="1">
      <c r="B305" s="3" t="s">
        <v>88</v>
      </c>
      <c r="C305" s="3"/>
      <c r="D305" s="3"/>
      <c r="E305" s="3"/>
      <c r="F305" s="3"/>
      <c r="H305" s="1369"/>
      <c r="I305" s="1369"/>
      <c r="J305" s="1369"/>
      <c r="K305" s="1369"/>
      <c r="L305" s="1369"/>
      <c r="M305" s="1369"/>
      <c r="N305" s="1369"/>
      <c r="O305" s="1369"/>
      <c r="P305" s="1369"/>
      <c r="Q305" s="1369"/>
      <c r="R305" s="1369"/>
      <c r="T305" s="3" t="s">
        <v>88</v>
      </c>
      <c r="V305" s="3"/>
      <c r="W305" s="3"/>
      <c r="X305" s="3"/>
      <c r="Y305" s="3"/>
      <c r="AA305" s="1369"/>
      <c r="AB305" s="1369"/>
      <c r="AC305" s="1369"/>
      <c r="AD305" s="1369"/>
      <c r="AE305" s="1369"/>
      <c r="AF305" s="1369"/>
      <c r="AG305" s="1369"/>
      <c r="AH305" s="1369"/>
      <c r="AI305" s="1369"/>
      <c r="AJ305" s="1369"/>
      <c r="AK305" s="1369"/>
      <c r="BN305" s="34"/>
    </row>
    <row r="306" spans="2:66" ht="12.95" customHeight="1">
      <c r="B306" s="3" t="s">
        <v>89</v>
      </c>
      <c r="C306" s="3"/>
      <c r="D306" s="3"/>
      <c r="E306" s="3"/>
      <c r="F306" s="3"/>
      <c r="G306" s="3"/>
      <c r="H306" s="1646"/>
      <c r="I306" s="1646"/>
      <c r="J306" s="1646"/>
      <c r="K306" s="1646"/>
      <c r="L306" s="1646"/>
      <c r="M306" s="1646"/>
      <c r="N306" s="4" t="s">
        <v>207</v>
      </c>
      <c r="O306" s="4"/>
      <c r="P306" s="1645"/>
      <c r="Q306" s="1645"/>
      <c r="R306" s="1645"/>
      <c r="S306" s="3"/>
      <c r="T306" s="3" t="s">
        <v>89</v>
      </c>
      <c r="V306" s="3"/>
      <c r="W306" s="3"/>
      <c r="X306" s="3"/>
      <c r="Y306" s="3"/>
      <c r="AA306" s="1646"/>
      <c r="AB306" s="1646"/>
      <c r="AC306" s="1646"/>
      <c r="AD306" s="1646"/>
      <c r="AE306" s="1646"/>
      <c r="AF306" s="1646"/>
      <c r="AG306" s="4" t="s">
        <v>207</v>
      </c>
      <c r="AH306" s="4"/>
      <c r="AI306" s="1645"/>
      <c r="AJ306" s="1645"/>
      <c r="AK306" s="1645"/>
      <c r="BN306" s="34"/>
    </row>
    <row r="307" spans="2:66" ht="12.95" customHeight="1">
      <c r="B307" s="3" t="s">
        <v>90</v>
      </c>
      <c r="C307" s="3"/>
      <c r="D307" s="3"/>
      <c r="E307" s="3"/>
      <c r="F307" s="3"/>
      <c r="G307" s="3"/>
      <c r="H307" s="1372"/>
      <c r="I307" s="1372"/>
      <c r="J307" s="1372"/>
      <c r="K307" s="1372"/>
      <c r="L307" s="1372"/>
      <c r="M307" s="1372"/>
      <c r="N307" s="4"/>
      <c r="O307" s="4"/>
      <c r="P307" s="35"/>
      <c r="Q307" s="35"/>
      <c r="R307" s="35"/>
      <c r="S307" s="3"/>
      <c r="T307" s="3" t="s">
        <v>90</v>
      </c>
      <c r="V307" s="3"/>
      <c r="W307" s="3"/>
      <c r="X307" s="3"/>
      <c r="Y307" s="3"/>
      <c r="AA307" s="1372"/>
      <c r="AB307" s="1372"/>
      <c r="AC307" s="1372"/>
      <c r="AD307" s="1372"/>
      <c r="AE307" s="1372"/>
      <c r="AF307" s="1372"/>
      <c r="AG307" s="4"/>
      <c r="AH307" s="4"/>
      <c r="AI307" s="35"/>
      <c r="AJ307" s="35"/>
      <c r="AK307" s="35"/>
      <c r="BN307" s="34"/>
    </row>
    <row r="308" spans="2:66" ht="12.95" customHeight="1">
      <c r="B308" s="3" t="s">
        <v>77</v>
      </c>
      <c r="C308" s="3"/>
      <c r="D308" s="3"/>
      <c r="E308" s="3"/>
      <c r="F308" s="3"/>
      <c r="G308" s="3"/>
      <c r="H308" s="1369"/>
      <c r="I308" s="1369"/>
      <c r="J308" s="1369"/>
      <c r="K308" s="1369"/>
      <c r="L308" s="1369"/>
      <c r="M308" s="1369"/>
      <c r="N308" s="1352"/>
      <c r="O308" s="1352"/>
      <c r="P308" s="1352"/>
      <c r="Q308" s="1352"/>
      <c r="R308" s="1352"/>
      <c r="S308" s="3"/>
      <c r="T308" s="3" t="s">
        <v>77</v>
      </c>
      <c r="V308" s="3"/>
      <c r="W308" s="3"/>
      <c r="X308" s="3"/>
      <c r="Y308" s="3"/>
      <c r="AA308" s="1369"/>
      <c r="AB308" s="1369"/>
      <c r="AC308" s="1369"/>
      <c r="AD308" s="1369"/>
      <c r="AE308" s="1369"/>
      <c r="AF308" s="1369"/>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2" t="s">
        <v>2636</v>
      </c>
      <c r="I310" s="1352"/>
      <c r="J310" s="1352"/>
      <c r="K310" s="1352"/>
      <c r="L310" s="1352"/>
      <c r="M310" s="1352"/>
      <c r="N310" s="1352"/>
      <c r="O310" s="1352"/>
      <c r="P310" s="1352"/>
      <c r="Q310" s="1352"/>
      <c r="R310" s="1352"/>
      <c r="S310" s="3"/>
      <c r="T310" s="3" t="s">
        <v>366</v>
      </c>
      <c r="V310" s="3"/>
      <c r="W310" s="3"/>
      <c r="X310" s="3"/>
      <c r="Y310" s="3"/>
      <c r="AA310" s="1352" t="s">
        <v>2681</v>
      </c>
      <c r="AB310" s="1352"/>
      <c r="AC310" s="1352"/>
      <c r="AD310" s="1352"/>
      <c r="AE310" s="1352"/>
      <c r="AF310" s="1352"/>
      <c r="AG310" s="1352"/>
      <c r="AH310" s="1352"/>
      <c r="AI310" s="1352"/>
      <c r="AJ310" s="1352"/>
      <c r="AK310" s="1352"/>
      <c r="BN310" s="34"/>
    </row>
    <row r="311" spans="2:66" ht="12.95" customHeight="1">
      <c r="B311" s="3" t="s">
        <v>480</v>
      </c>
      <c r="C311" s="3"/>
      <c r="D311" s="3"/>
      <c r="E311" s="3"/>
      <c r="F311" s="3"/>
      <c r="H311" s="1369" t="s">
        <v>2637</v>
      </c>
      <c r="I311" s="1369"/>
      <c r="J311" s="1369"/>
      <c r="K311" s="1369"/>
      <c r="L311" s="1369"/>
      <c r="M311" s="1369"/>
      <c r="N311" s="1369"/>
      <c r="O311" s="1369"/>
      <c r="P311" s="1369"/>
      <c r="Q311" s="1369"/>
      <c r="R311" s="1369"/>
      <c r="S311" s="3"/>
      <c r="T311" s="3" t="s">
        <v>480</v>
      </c>
      <c r="V311" s="3"/>
      <c r="W311" s="3"/>
      <c r="X311" s="3"/>
      <c r="Y311" s="3"/>
      <c r="AA311" s="1369" t="s">
        <v>2682</v>
      </c>
      <c r="AB311" s="1369"/>
      <c r="AC311" s="1369"/>
      <c r="AD311" s="1369"/>
      <c r="AE311" s="1369"/>
      <c r="AF311" s="1369"/>
      <c r="AG311" s="1369"/>
      <c r="AH311" s="1369"/>
      <c r="AI311" s="1369"/>
      <c r="AJ311" s="1369"/>
      <c r="AK311" s="1369"/>
      <c r="BN311" s="34"/>
    </row>
    <row r="312" spans="2:66" ht="12.95" customHeight="1">
      <c r="B312" s="3" t="s">
        <v>481</v>
      </c>
      <c r="C312" s="3"/>
      <c r="D312" s="3"/>
      <c r="E312" s="3"/>
      <c r="F312" s="3"/>
      <c r="H312" s="1369" t="s">
        <v>2638</v>
      </c>
      <c r="I312" s="1369"/>
      <c r="J312" s="1369"/>
      <c r="K312" s="1369"/>
      <c r="L312" s="1369"/>
      <c r="M312" s="1369"/>
      <c r="N312" s="1369"/>
      <c r="O312" s="1369"/>
      <c r="P312" s="1369"/>
      <c r="Q312" s="1369"/>
      <c r="R312" s="1369"/>
      <c r="S312" s="3"/>
      <c r="T312" s="3" t="s">
        <v>76</v>
      </c>
      <c r="V312" s="3"/>
      <c r="W312" s="3"/>
      <c r="X312" s="3"/>
      <c r="Y312" s="3"/>
      <c r="AA312" s="1369" t="s">
        <v>2683</v>
      </c>
      <c r="AB312" s="1369"/>
      <c r="AC312" s="1369"/>
      <c r="AD312" s="1369"/>
      <c r="AE312" s="1369"/>
      <c r="AF312" s="1369"/>
      <c r="AG312" s="1369"/>
      <c r="AH312" s="1369"/>
      <c r="AI312" s="1369"/>
      <c r="AJ312" s="1369"/>
      <c r="AK312" s="1369"/>
      <c r="BN312" s="34"/>
    </row>
    <row r="313" spans="2:66" ht="12.95" customHeight="1">
      <c r="B313" s="3" t="s">
        <v>88</v>
      </c>
      <c r="C313" s="3"/>
      <c r="D313" s="3"/>
      <c r="E313" s="3"/>
      <c r="F313" s="3"/>
      <c r="H313" s="1369" t="s">
        <v>2639</v>
      </c>
      <c r="I313" s="1369"/>
      <c r="J313" s="1369"/>
      <c r="K313" s="1369"/>
      <c r="L313" s="1369"/>
      <c r="M313" s="1369"/>
      <c r="N313" s="1369"/>
      <c r="O313" s="1369"/>
      <c r="P313" s="1369"/>
      <c r="Q313" s="1369"/>
      <c r="R313" s="1369"/>
      <c r="S313" s="3"/>
      <c r="T313" s="3" t="s">
        <v>88</v>
      </c>
      <c r="V313" s="3"/>
      <c r="W313" s="3"/>
      <c r="X313" s="3"/>
      <c r="Y313" s="3"/>
      <c r="AA313" s="1369" t="s">
        <v>2684</v>
      </c>
      <c r="AB313" s="1369"/>
      <c r="AC313" s="1369"/>
      <c r="AD313" s="1369"/>
      <c r="AE313" s="1369"/>
      <c r="AF313" s="1369"/>
      <c r="AG313" s="1369"/>
      <c r="AH313" s="1369"/>
      <c r="AI313" s="1369"/>
      <c r="AJ313" s="1369"/>
      <c r="AK313" s="1369"/>
      <c r="BN313" s="34"/>
    </row>
    <row r="314" spans="2:66" ht="12.95" customHeight="1">
      <c r="B314" s="3" t="s">
        <v>89</v>
      </c>
      <c r="C314" s="3"/>
      <c r="D314" s="3"/>
      <c r="E314" s="3"/>
      <c r="F314" s="3"/>
      <c r="G314" s="3"/>
      <c r="H314" s="1646">
        <v>9169305732</v>
      </c>
      <c r="I314" s="1646"/>
      <c r="J314" s="1646"/>
      <c r="K314" s="1646"/>
      <c r="L314" s="1646"/>
      <c r="M314" s="1646"/>
      <c r="N314" s="4" t="s">
        <v>207</v>
      </c>
      <c r="O314" s="4"/>
      <c r="P314" s="1645"/>
      <c r="Q314" s="1645"/>
      <c r="R314" s="1645"/>
      <c r="S314" s="3"/>
      <c r="T314" s="3" t="s">
        <v>89</v>
      </c>
      <c r="V314" s="3"/>
      <c r="W314" s="3"/>
      <c r="X314" s="3"/>
      <c r="Y314" s="3"/>
      <c r="AA314" s="1646">
        <v>9494392616</v>
      </c>
      <c r="AB314" s="1646"/>
      <c r="AC314" s="1646"/>
      <c r="AD314" s="1646"/>
      <c r="AE314" s="1646"/>
      <c r="AF314" s="1646"/>
      <c r="AG314" s="4" t="s">
        <v>207</v>
      </c>
      <c r="AH314" s="4"/>
      <c r="AI314" s="1645"/>
      <c r="AJ314" s="1645"/>
      <c r="AK314" s="1645"/>
      <c r="BN314" s="34"/>
    </row>
    <row r="315" spans="2:66" ht="12.95" customHeight="1">
      <c r="B315" s="3" t="s">
        <v>90</v>
      </c>
      <c r="C315" s="3"/>
      <c r="D315" s="3"/>
      <c r="E315" s="3"/>
      <c r="F315" s="3"/>
      <c r="G315" s="3"/>
      <c r="H315" s="1372">
        <v>9164429103</v>
      </c>
      <c r="I315" s="1372"/>
      <c r="J315" s="1372"/>
      <c r="K315" s="1372"/>
      <c r="L315" s="1372"/>
      <c r="M315" s="1372"/>
      <c r="N315" s="4"/>
      <c r="O315" s="4"/>
      <c r="P315" s="35"/>
      <c r="Q315" s="35"/>
      <c r="R315" s="35"/>
      <c r="S315" s="3"/>
      <c r="T315" s="3" t="s">
        <v>90</v>
      </c>
      <c r="V315" s="3"/>
      <c r="W315" s="3"/>
      <c r="X315" s="3"/>
      <c r="Y315" s="3"/>
      <c r="AA315" s="1760" t="s">
        <v>600</v>
      </c>
      <c r="AB315" s="1372"/>
      <c r="AC315" s="1372"/>
      <c r="AD315" s="1372"/>
      <c r="AE315" s="1372"/>
      <c r="AF315" s="1372"/>
      <c r="AG315" s="4"/>
      <c r="AH315" s="4"/>
      <c r="AI315" s="35"/>
      <c r="AJ315" s="35"/>
      <c r="AK315" s="35"/>
      <c r="BN315" s="34"/>
    </row>
    <row r="316" spans="2:66" ht="12.95" customHeight="1">
      <c r="B316" s="3" t="s">
        <v>77</v>
      </c>
      <c r="C316" s="3"/>
      <c r="D316" s="3"/>
      <c r="E316" s="3"/>
      <c r="F316" s="3"/>
      <c r="G316" s="3"/>
      <c r="H316" s="1369" t="s">
        <v>2714</v>
      </c>
      <c r="I316" s="1369"/>
      <c r="J316" s="1369"/>
      <c r="K316" s="1369"/>
      <c r="L316" s="1369"/>
      <c r="M316" s="1369"/>
      <c r="N316" s="1352"/>
      <c r="O316" s="1352"/>
      <c r="P316" s="1352"/>
      <c r="Q316" s="1352"/>
      <c r="R316" s="1352"/>
      <c r="S316" s="3"/>
      <c r="T316" s="3" t="s">
        <v>77</v>
      </c>
      <c r="V316" s="3"/>
      <c r="W316" s="3"/>
      <c r="X316" s="3"/>
      <c r="Y316" s="3"/>
      <c r="AA316" s="1369" t="s">
        <v>2704</v>
      </c>
      <c r="AB316" s="1369"/>
      <c r="AC316" s="1369"/>
      <c r="AD316" s="1369"/>
      <c r="AE316" s="1369"/>
      <c r="AF316" s="1369"/>
      <c r="AG316" s="1352"/>
      <c r="AH316" s="1352"/>
      <c r="AI316" s="1352"/>
      <c r="AJ316" s="1352"/>
      <c r="AK316" s="1352"/>
      <c r="BN316" s="34"/>
    </row>
    <row r="317" spans="2:66" ht="12.95" customHeight="1">
      <c r="BN317" s="34"/>
    </row>
    <row r="318" spans="2:66" ht="12.95" customHeight="1">
      <c r="B318" s="4" t="s">
        <v>941</v>
      </c>
      <c r="C318" s="3"/>
      <c r="D318" s="3"/>
      <c r="E318" s="3"/>
      <c r="F318" s="3"/>
      <c r="H318" s="1352" t="s">
        <v>2651</v>
      </c>
      <c r="I318" s="1352"/>
      <c r="J318" s="1352"/>
      <c r="K318" s="1352"/>
      <c r="L318" s="1352"/>
      <c r="M318" s="1352"/>
      <c r="N318" s="1352"/>
      <c r="O318" s="1352"/>
      <c r="P318" s="1352"/>
      <c r="Q318" s="1352"/>
      <c r="R318" s="1352"/>
      <c r="T318" s="3" t="s">
        <v>367</v>
      </c>
      <c r="V318" s="3"/>
      <c r="W318" s="3"/>
      <c r="X318" s="3"/>
      <c r="Y318" s="3"/>
      <c r="AA318" s="1352" t="s">
        <v>2685</v>
      </c>
      <c r="AB318" s="1352"/>
      <c r="AC318" s="1352"/>
      <c r="AD318" s="1352"/>
      <c r="AE318" s="1352"/>
      <c r="AF318" s="1352"/>
      <c r="AG318" s="1352"/>
      <c r="AH318" s="1352"/>
      <c r="AI318" s="1352"/>
      <c r="AJ318" s="1352"/>
      <c r="AK318" s="1352"/>
      <c r="BN318" s="34"/>
    </row>
    <row r="319" spans="2:66" ht="12.95" customHeight="1">
      <c r="B319" s="3" t="s">
        <v>480</v>
      </c>
      <c r="C319" s="3"/>
      <c r="D319" s="3"/>
      <c r="E319" s="3"/>
      <c r="F319" s="3"/>
      <c r="H319" s="1369"/>
      <c r="I319" s="1369"/>
      <c r="J319" s="1369"/>
      <c r="K319" s="1369"/>
      <c r="L319" s="1369"/>
      <c r="M319" s="1369"/>
      <c r="N319" s="1369"/>
      <c r="O319" s="1369"/>
      <c r="P319" s="1369"/>
      <c r="Q319" s="1369"/>
      <c r="R319" s="1369"/>
      <c r="T319" s="3" t="s">
        <v>480</v>
      </c>
      <c r="V319" s="3"/>
      <c r="W319" s="3"/>
      <c r="X319" s="3"/>
      <c r="Y319" s="3"/>
      <c r="AA319" s="1369" t="s">
        <v>2686</v>
      </c>
      <c r="AB319" s="1369"/>
      <c r="AC319" s="1369"/>
      <c r="AD319" s="1369"/>
      <c r="AE319" s="1369"/>
      <c r="AF319" s="1369"/>
      <c r="AG319" s="1369"/>
      <c r="AH319" s="1369"/>
      <c r="AI319" s="1369"/>
      <c r="AJ319" s="1369"/>
      <c r="AK319" s="1369"/>
      <c r="BN319" s="34"/>
    </row>
    <row r="320" spans="2:66" ht="12.95" customHeight="1">
      <c r="B320" s="3" t="s">
        <v>481</v>
      </c>
      <c r="C320" s="3"/>
      <c r="D320" s="3"/>
      <c r="E320" s="3"/>
      <c r="F320" s="3"/>
      <c r="H320" s="1369"/>
      <c r="I320" s="1369"/>
      <c r="J320" s="1369"/>
      <c r="K320" s="1369"/>
      <c r="L320" s="1369"/>
      <c r="M320" s="1369"/>
      <c r="N320" s="1369"/>
      <c r="O320" s="1369"/>
      <c r="P320" s="1369"/>
      <c r="Q320" s="1369"/>
      <c r="R320" s="1369"/>
      <c r="T320" s="3" t="s">
        <v>76</v>
      </c>
      <c r="V320" s="3"/>
      <c r="W320" s="3"/>
      <c r="X320" s="3"/>
      <c r="Y320" s="3"/>
      <c r="AA320" s="1369" t="s">
        <v>2687</v>
      </c>
      <c r="AB320" s="1369"/>
      <c r="AC320" s="1369"/>
      <c r="AD320" s="1369"/>
      <c r="AE320" s="1369"/>
      <c r="AF320" s="1369"/>
      <c r="AG320" s="1369"/>
      <c r="AH320" s="1369"/>
      <c r="AI320" s="1369"/>
      <c r="AJ320" s="1369"/>
      <c r="AK320" s="1369"/>
      <c r="BN320" s="34"/>
    </row>
    <row r="321" spans="2:66" ht="12.95" customHeight="1">
      <c r="B321" s="3" t="s">
        <v>88</v>
      </c>
      <c r="C321" s="3"/>
      <c r="D321" s="3"/>
      <c r="E321" s="3"/>
      <c r="F321" s="3"/>
      <c r="H321" s="1369"/>
      <c r="I321" s="1369"/>
      <c r="J321" s="1369"/>
      <c r="K321" s="1369"/>
      <c r="L321" s="1369"/>
      <c r="M321" s="1369"/>
      <c r="N321" s="1369"/>
      <c r="O321" s="1369"/>
      <c r="P321" s="1369"/>
      <c r="Q321" s="1369"/>
      <c r="R321" s="1369"/>
      <c r="T321" s="3" t="s">
        <v>88</v>
      </c>
      <c r="V321" s="3"/>
      <c r="W321" s="3"/>
      <c r="X321" s="3"/>
      <c r="Y321" s="3"/>
      <c r="AA321" s="1369" t="s">
        <v>2688</v>
      </c>
      <c r="AB321" s="1369"/>
      <c r="AC321" s="1369"/>
      <c r="AD321" s="1369"/>
      <c r="AE321" s="1369"/>
      <c r="AF321" s="1369"/>
      <c r="AG321" s="1369"/>
      <c r="AH321" s="1369"/>
      <c r="AI321" s="1369"/>
      <c r="AJ321" s="1369"/>
      <c r="AK321" s="1369"/>
      <c r="BN321" s="34"/>
    </row>
    <row r="322" spans="2:66" ht="12.95" customHeight="1">
      <c r="B322" s="3" t="s">
        <v>89</v>
      </c>
      <c r="C322" s="3"/>
      <c r="D322" s="3"/>
      <c r="E322" s="3"/>
      <c r="F322" s="3"/>
      <c r="G322" s="3"/>
      <c r="H322" s="1646"/>
      <c r="I322" s="1646"/>
      <c r="J322" s="1646"/>
      <c r="K322" s="1646"/>
      <c r="L322" s="1646"/>
      <c r="M322" s="1646"/>
      <c r="N322" s="4" t="s">
        <v>207</v>
      </c>
      <c r="O322" s="4"/>
      <c r="P322" s="1645"/>
      <c r="Q322" s="1645"/>
      <c r="R322" s="1645"/>
      <c r="S322" s="3"/>
      <c r="T322" s="3" t="s">
        <v>89</v>
      </c>
      <c r="V322" s="3"/>
      <c r="W322" s="3"/>
      <c r="X322" s="3"/>
      <c r="Y322" s="3"/>
      <c r="AA322" s="1646">
        <v>4022020771</v>
      </c>
      <c r="AB322" s="1646"/>
      <c r="AC322" s="1646"/>
      <c r="AD322" s="1646"/>
      <c r="AE322" s="1646"/>
      <c r="AF322" s="1646"/>
      <c r="AG322" s="4" t="s">
        <v>207</v>
      </c>
      <c r="AH322" s="4"/>
      <c r="AI322" s="1645"/>
      <c r="AJ322" s="1645"/>
      <c r="AK322" s="1645"/>
      <c r="BN322" s="34"/>
    </row>
    <row r="323" spans="2:66" ht="12.95" customHeight="1">
      <c r="B323" s="3" t="s">
        <v>90</v>
      </c>
      <c r="C323" s="3"/>
      <c r="D323" s="3"/>
      <c r="E323" s="3"/>
      <c r="F323" s="3"/>
      <c r="G323" s="3"/>
      <c r="H323" s="1372"/>
      <c r="I323" s="1372"/>
      <c r="J323" s="1372"/>
      <c r="K323" s="1372"/>
      <c r="L323" s="1372"/>
      <c r="M323" s="1372"/>
      <c r="N323" s="4"/>
      <c r="O323" s="4"/>
      <c r="P323" s="35"/>
      <c r="Q323" s="35"/>
      <c r="R323" s="35"/>
      <c r="S323" s="3"/>
      <c r="T323" s="3" t="s">
        <v>90</v>
      </c>
      <c r="V323" s="3"/>
      <c r="W323" s="3"/>
      <c r="X323" s="3"/>
      <c r="Y323" s="3"/>
      <c r="AA323" s="1760" t="s">
        <v>600</v>
      </c>
      <c r="AB323" s="1372"/>
      <c r="AC323" s="1372"/>
      <c r="AD323" s="1372"/>
      <c r="AE323" s="1372"/>
      <c r="AF323" s="1372"/>
      <c r="AG323" s="4"/>
      <c r="AH323" s="4"/>
      <c r="AI323" s="35"/>
      <c r="AJ323" s="35"/>
      <c r="AK323" s="35"/>
    </row>
    <row r="324" spans="2:66" ht="12.95" customHeight="1">
      <c r="B324" s="3" t="s">
        <v>77</v>
      </c>
      <c r="C324" s="3"/>
      <c r="D324" s="3"/>
      <c r="E324" s="3"/>
      <c r="F324" s="3"/>
      <c r="G324" s="3"/>
      <c r="H324" s="1369"/>
      <c r="I324" s="1369"/>
      <c r="J324" s="1369"/>
      <c r="K324" s="1369"/>
      <c r="L324" s="1369"/>
      <c r="M324" s="1369"/>
      <c r="N324" s="1352"/>
      <c r="O324" s="1352"/>
      <c r="P324" s="1352"/>
      <c r="Q324" s="1352"/>
      <c r="R324" s="1352"/>
      <c r="S324" s="3"/>
      <c r="T324" s="3" t="s">
        <v>77</v>
      </c>
      <c r="V324" s="3"/>
      <c r="W324" s="3"/>
      <c r="X324" s="3"/>
      <c r="Y324" s="3"/>
      <c r="AA324" s="1369" t="s">
        <v>2689</v>
      </c>
      <c r="AB324" s="1369"/>
      <c r="AC324" s="1369"/>
      <c r="AD324" s="1369"/>
      <c r="AE324" s="1369"/>
      <c r="AF324" s="1369"/>
      <c r="AG324" s="1352"/>
      <c r="AH324" s="1352"/>
      <c r="AI324" s="1352"/>
      <c r="AJ324" s="1352"/>
      <c r="AK324" s="135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52" t="s">
        <v>2651</v>
      </c>
      <c r="I326" s="1352"/>
      <c r="J326" s="1352"/>
      <c r="K326" s="1352"/>
      <c r="L326" s="1352"/>
      <c r="M326" s="1352"/>
      <c r="N326" s="1352"/>
      <c r="O326" s="1352"/>
      <c r="P326" s="1352"/>
      <c r="Q326" s="1352"/>
      <c r="R326" s="1352"/>
      <c r="T326" s="3" t="s">
        <v>369</v>
      </c>
      <c r="V326" s="3"/>
      <c r="W326" s="3"/>
      <c r="X326" s="3"/>
      <c r="Y326" s="3"/>
      <c r="AA326" s="1352" t="s">
        <v>2651</v>
      </c>
      <c r="AB326" s="1352"/>
      <c r="AC326" s="1352"/>
      <c r="AD326" s="1352"/>
      <c r="AE326" s="1352"/>
      <c r="AF326" s="1352"/>
      <c r="AG326" s="1352"/>
      <c r="AH326" s="1352"/>
      <c r="AI326" s="1352"/>
      <c r="AJ326" s="1352"/>
      <c r="AK326" s="1352"/>
    </row>
    <row r="327" spans="2:66" ht="12.95" customHeight="1">
      <c r="B327" s="3" t="s">
        <v>480</v>
      </c>
      <c r="C327" s="3"/>
      <c r="D327" s="3"/>
      <c r="E327" s="3"/>
      <c r="F327" s="3"/>
      <c r="H327" s="1369"/>
      <c r="I327" s="1369"/>
      <c r="J327" s="1369"/>
      <c r="K327" s="1369"/>
      <c r="L327" s="1369"/>
      <c r="M327" s="1369"/>
      <c r="N327" s="1369"/>
      <c r="O327" s="1369"/>
      <c r="P327" s="1369"/>
      <c r="Q327" s="1369"/>
      <c r="R327" s="1369"/>
      <c r="T327" s="3" t="s">
        <v>480</v>
      </c>
      <c r="V327" s="3"/>
      <c r="W327" s="3"/>
      <c r="X327" s="3"/>
      <c r="Y327" s="3"/>
      <c r="AA327" s="1369"/>
      <c r="AB327" s="1369"/>
      <c r="AC327" s="1369"/>
      <c r="AD327" s="1369"/>
      <c r="AE327" s="1369"/>
      <c r="AF327" s="1369"/>
      <c r="AG327" s="1369"/>
      <c r="AH327" s="1369"/>
      <c r="AI327" s="1369"/>
      <c r="AJ327" s="1369"/>
      <c r="AK327" s="1369"/>
    </row>
    <row r="328" spans="2:66" ht="12.95" customHeight="1">
      <c r="B328" s="3" t="s">
        <v>481</v>
      </c>
      <c r="C328" s="3"/>
      <c r="D328" s="3"/>
      <c r="E328" s="3"/>
      <c r="F328" s="3"/>
      <c r="H328" s="1369"/>
      <c r="I328" s="1369"/>
      <c r="J328" s="1369"/>
      <c r="K328" s="1369"/>
      <c r="L328" s="1369"/>
      <c r="M328" s="1369"/>
      <c r="N328" s="1369"/>
      <c r="O328" s="1369"/>
      <c r="P328" s="1369"/>
      <c r="Q328" s="1369"/>
      <c r="R328" s="1369"/>
      <c r="T328" s="3" t="s">
        <v>76</v>
      </c>
      <c r="V328" s="3"/>
      <c r="W328" s="3"/>
      <c r="X328" s="3"/>
      <c r="Y328" s="3"/>
      <c r="AA328" s="1369"/>
      <c r="AB328" s="1369"/>
      <c r="AC328" s="1369"/>
      <c r="AD328" s="1369"/>
      <c r="AE328" s="1369"/>
      <c r="AF328" s="1369"/>
      <c r="AG328" s="1369"/>
      <c r="AH328" s="1369"/>
      <c r="AI328" s="1369"/>
      <c r="AJ328" s="1369"/>
      <c r="AK328" s="1369"/>
    </row>
    <row r="329" spans="2:66" ht="12.95" customHeight="1">
      <c r="B329" s="3" t="s">
        <v>88</v>
      </c>
      <c r="C329" s="3"/>
      <c r="D329" s="3"/>
      <c r="E329" s="3"/>
      <c r="F329" s="3"/>
      <c r="H329" s="1369"/>
      <c r="I329" s="1369"/>
      <c r="J329" s="1369"/>
      <c r="K329" s="1369"/>
      <c r="L329" s="1369"/>
      <c r="M329" s="1369"/>
      <c r="N329" s="1369"/>
      <c r="O329" s="1369"/>
      <c r="P329" s="1369"/>
      <c r="Q329" s="1369"/>
      <c r="R329" s="1369"/>
      <c r="T329" s="3" t="s">
        <v>88</v>
      </c>
      <c r="V329" s="3"/>
      <c r="W329" s="3"/>
      <c r="X329" s="3"/>
      <c r="Y329" s="3"/>
      <c r="AA329" s="1369"/>
      <c r="AB329" s="1369"/>
      <c r="AC329" s="1369"/>
      <c r="AD329" s="1369"/>
      <c r="AE329" s="1369"/>
      <c r="AF329" s="1369"/>
      <c r="AG329" s="1369"/>
      <c r="AH329" s="1369"/>
      <c r="AI329" s="1369"/>
      <c r="AJ329" s="1369"/>
      <c r="AK329" s="1369"/>
    </row>
    <row r="330" spans="2:66" ht="12.95" customHeight="1">
      <c r="B330" s="3" t="s">
        <v>89</v>
      </c>
      <c r="C330" s="3"/>
      <c r="D330" s="3"/>
      <c r="E330" s="3"/>
      <c r="F330" s="3"/>
      <c r="G330" s="3"/>
      <c r="H330" s="1646"/>
      <c r="I330" s="1646"/>
      <c r="J330" s="1646"/>
      <c r="K330" s="1646"/>
      <c r="L330" s="1646"/>
      <c r="M330" s="1646"/>
      <c r="N330" s="4" t="s">
        <v>207</v>
      </c>
      <c r="O330" s="4"/>
      <c r="P330" s="1645"/>
      <c r="Q330" s="1645"/>
      <c r="R330" s="1645"/>
      <c r="S330" s="3"/>
      <c r="T330" s="3" t="s">
        <v>89</v>
      </c>
      <c r="V330" s="3"/>
      <c r="W330" s="3"/>
      <c r="X330" s="3"/>
      <c r="Y330" s="3"/>
      <c r="AA330" s="1646"/>
      <c r="AB330" s="1646"/>
      <c r="AC330" s="1646"/>
      <c r="AD330" s="1646"/>
      <c r="AE330" s="1646"/>
      <c r="AF330" s="1646"/>
      <c r="AG330" s="4" t="s">
        <v>207</v>
      </c>
      <c r="AH330" s="4"/>
      <c r="AI330" s="1645"/>
      <c r="AJ330" s="1645"/>
      <c r="AK330" s="1645"/>
    </row>
    <row r="331" spans="2:66" ht="12.95" customHeight="1">
      <c r="B331" s="3" t="s">
        <v>90</v>
      </c>
      <c r="C331" s="3"/>
      <c r="D331" s="3"/>
      <c r="E331" s="3"/>
      <c r="F331" s="3"/>
      <c r="G331" s="3"/>
      <c r="H331" s="1372"/>
      <c r="I331" s="1372"/>
      <c r="J331" s="1372"/>
      <c r="K331" s="1372"/>
      <c r="L331" s="1372"/>
      <c r="M331" s="1372"/>
      <c r="N331" s="4"/>
      <c r="O331" s="4"/>
      <c r="P331" s="35"/>
      <c r="Q331" s="35"/>
      <c r="R331" s="35"/>
      <c r="S331" s="3"/>
      <c r="T331" s="3" t="s">
        <v>90</v>
      </c>
      <c r="V331" s="3"/>
      <c r="W331" s="3"/>
      <c r="X331" s="3"/>
      <c r="Y331" s="3"/>
      <c r="AA331" s="1372"/>
      <c r="AB331" s="1372"/>
      <c r="AC331" s="1372"/>
      <c r="AD331" s="1372"/>
      <c r="AE331" s="1372"/>
      <c r="AF331" s="1372"/>
      <c r="AG331" s="4"/>
      <c r="AH331" s="4"/>
      <c r="AI331" s="35"/>
      <c r="AJ331" s="35"/>
      <c r="AK331" s="35"/>
    </row>
    <row r="332" spans="2:66" ht="12.95" customHeight="1">
      <c r="B332" s="3" t="s">
        <v>77</v>
      </c>
      <c r="C332" s="3"/>
      <c r="D332" s="3"/>
      <c r="E332" s="3"/>
      <c r="F332" s="3"/>
      <c r="G332" s="3"/>
      <c r="H332" s="1369"/>
      <c r="I332" s="1369"/>
      <c r="J332" s="1369"/>
      <c r="K332" s="1369"/>
      <c r="L332" s="1369"/>
      <c r="M332" s="1369"/>
      <c r="N332" s="1352"/>
      <c r="O332" s="1352"/>
      <c r="P332" s="1352"/>
      <c r="Q332" s="1352"/>
      <c r="R332" s="1352"/>
      <c r="S332" s="3"/>
      <c r="T332" s="3" t="s">
        <v>77</v>
      </c>
      <c r="V332" s="3"/>
      <c r="W332" s="3"/>
      <c r="X332" s="3"/>
      <c r="Y332" s="3"/>
      <c r="AA332" s="1369"/>
      <c r="AB332" s="1369"/>
      <c r="AC332" s="1369"/>
      <c r="AD332" s="1369"/>
      <c r="AE332" s="1369"/>
      <c r="AF332" s="1369"/>
      <c r="AG332" s="1352"/>
      <c r="AH332" s="1352"/>
      <c r="AI332" s="1352"/>
      <c r="AJ332" s="1352"/>
      <c r="AK332" s="135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52" t="s">
        <v>2640</v>
      </c>
      <c r="I334" s="1352"/>
      <c r="J334" s="1352"/>
      <c r="K334" s="1352"/>
      <c r="L334" s="1352"/>
      <c r="M334" s="1352"/>
      <c r="N334" s="1352"/>
      <c r="O334" s="1352"/>
      <c r="P334" s="1352"/>
      <c r="Q334" s="1352"/>
      <c r="R334" s="1352"/>
      <c r="T334" s="218" t="s">
        <v>916</v>
      </c>
      <c r="V334" s="3"/>
      <c r="W334" s="3"/>
      <c r="X334" s="3"/>
      <c r="Y334" s="3"/>
      <c r="AA334" s="1352" t="s">
        <v>2644</v>
      </c>
      <c r="AB334" s="1352"/>
      <c r="AC334" s="1352"/>
      <c r="AD334" s="1352"/>
      <c r="AE334" s="1352"/>
      <c r="AF334" s="1352"/>
      <c r="AG334" s="1352"/>
      <c r="AH334" s="1352"/>
      <c r="AI334" s="1352"/>
      <c r="AJ334" s="1352"/>
      <c r="AK334" s="1352"/>
    </row>
    <row r="335" spans="2:66" ht="12.95" customHeight="1">
      <c r="B335" s="3" t="s">
        <v>480</v>
      </c>
      <c r="C335" s="3"/>
      <c r="D335" s="3"/>
      <c r="E335" s="3"/>
      <c r="F335" s="3"/>
      <c r="H335" s="1369" t="s">
        <v>2641</v>
      </c>
      <c r="I335" s="1369"/>
      <c r="J335" s="1369"/>
      <c r="K335" s="1369"/>
      <c r="L335" s="1369"/>
      <c r="M335" s="1369"/>
      <c r="N335" s="1369"/>
      <c r="O335" s="1369"/>
      <c r="P335" s="1369"/>
      <c r="Q335" s="1369"/>
      <c r="R335" s="1369"/>
      <c r="T335" s="3" t="s">
        <v>480</v>
      </c>
      <c r="V335" s="3"/>
      <c r="W335" s="3"/>
      <c r="X335" s="3"/>
      <c r="Y335" s="3"/>
      <c r="AA335" s="1369" t="s">
        <v>2631</v>
      </c>
      <c r="AB335" s="1369"/>
      <c r="AC335" s="1369"/>
      <c r="AD335" s="1369"/>
      <c r="AE335" s="1369"/>
      <c r="AF335" s="1369"/>
      <c r="AG335" s="1369"/>
      <c r="AH335" s="1369"/>
      <c r="AI335" s="1369"/>
      <c r="AJ335" s="1369"/>
      <c r="AK335" s="1369"/>
    </row>
    <row r="336" spans="2:66" ht="12.95" customHeight="1">
      <c r="B336" s="3" t="s">
        <v>76</v>
      </c>
      <c r="C336" s="3"/>
      <c r="D336" s="3"/>
      <c r="E336" s="3"/>
      <c r="F336" s="3"/>
      <c r="H336" s="1369" t="s">
        <v>2642</v>
      </c>
      <c r="I336" s="1369"/>
      <c r="J336" s="1369"/>
      <c r="K336" s="1369"/>
      <c r="L336" s="1369"/>
      <c r="M336" s="1369"/>
      <c r="N336" s="1369"/>
      <c r="O336" s="1369"/>
      <c r="P336" s="1369"/>
      <c r="Q336" s="1369"/>
      <c r="R336" s="1369"/>
      <c r="T336" s="3" t="s">
        <v>76</v>
      </c>
      <c r="V336" s="3"/>
      <c r="W336" s="3"/>
      <c r="X336" s="3"/>
      <c r="Y336" s="3"/>
      <c r="AA336" s="1369" t="s">
        <v>2645</v>
      </c>
      <c r="AB336" s="1369"/>
      <c r="AC336" s="1369"/>
      <c r="AD336" s="1369"/>
      <c r="AE336" s="1369"/>
      <c r="AF336" s="1369"/>
      <c r="AG336" s="1369"/>
      <c r="AH336" s="1369"/>
      <c r="AI336" s="1369"/>
      <c r="AJ336" s="1369"/>
      <c r="AK336" s="1369"/>
    </row>
    <row r="337" spans="1:66" ht="12.95" customHeight="1">
      <c r="B337" s="3" t="s">
        <v>88</v>
      </c>
      <c r="C337" s="3"/>
      <c r="D337" s="3"/>
      <c r="E337" s="3"/>
      <c r="F337" s="3"/>
      <c r="G337" s="3"/>
      <c r="H337" s="1369" t="s">
        <v>2643</v>
      </c>
      <c r="I337" s="1369"/>
      <c r="J337" s="1369"/>
      <c r="K337" s="1369"/>
      <c r="L337" s="1369"/>
      <c r="M337" s="1369"/>
      <c r="N337" s="1369"/>
      <c r="O337" s="1369"/>
      <c r="P337" s="1369"/>
      <c r="Q337" s="1369"/>
      <c r="R337" s="1369"/>
      <c r="T337" s="3" t="s">
        <v>88</v>
      </c>
      <c r="V337" s="3"/>
      <c r="W337" s="3"/>
      <c r="X337" s="3"/>
      <c r="Y337" s="3"/>
      <c r="AA337" s="1369" t="s">
        <v>2646</v>
      </c>
      <c r="AB337" s="1369"/>
      <c r="AC337" s="1369"/>
      <c r="AD337" s="1369"/>
      <c r="AE337" s="1369"/>
      <c r="AF337" s="1369"/>
      <c r="AG337" s="1369"/>
      <c r="AH337" s="1369"/>
      <c r="AI337" s="1369"/>
      <c r="AJ337" s="1369"/>
      <c r="AK337" s="1369"/>
    </row>
    <row r="338" spans="1:66" ht="12.95" customHeight="1">
      <c r="B338" s="3" t="s">
        <v>89</v>
      </c>
      <c r="C338" s="3"/>
      <c r="D338" s="3"/>
      <c r="E338" s="3"/>
      <c r="F338" s="3"/>
      <c r="G338" s="3"/>
      <c r="H338" s="1646" t="s">
        <v>2648</v>
      </c>
      <c r="I338" s="1646"/>
      <c r="J338" s="1646"/>
      <c r="K338" s="1646"/>
      <c r="L338" s="1646"/>
      <c r="M338" s="1646"/>
      <c r="N338" s="4" t="s">
        <v>207</v>
      </c>
      <c r="O338" s="4"/>
      <c r="P338" s="1645"/>
      <c r="Q338" s="1645"/>
      <c r="R338" s="1645"/>
      <c r="S338" s="3"/>
      <c r="T338" s="3" t="s">
        <v>89</v>
      </c>
      <c r="V338" s="3"/>
      <c r="W338" s="3"/>
      <c r="X338" s="3"/>
      <c r="Y338" s="3"/>
      <c r="AA338" s="1646">
        <v>9167243939</v>
      </c>
      <c r="AB338" s="1646"/>
      <c r="AC338" s="1646"/>
      <c r="AD338" s="1646"/>
      <c r="AE338" s="1646"/>
      <c r="AF338" s="1646"/>
      <c r="AG338" s="4" t="s">
        <v>207</v>
      </c>
      <c r="AH338" s="4"/>
      <c r="AI338" s="1645"/>
      <c r="AJ338" s="1645"/>
      <c r="AK338" s="1645"/>
    </row>
    <row r="339" spans="1:66" ht="12.95" customHeight="1">
      <c r="B339" s="3" t="s">
        <v>90</v>
      </c>
      <c r="C339" s="3"/>
      <c r="D339" s="3"/>
      <c r="E339" s="3"/>
      <c r="F339" s="3"/>
      <c r="G339" s="3"/>
      <c r="H339" s="1372" t="s">
        <v>2649</v>
      </c>
      <c r="I339" s="1372"/>
      <c r="J339" s="1372"/>
      <c r="K339" s="1372"/>
      <c r="L339" s="1372"/>
      <c r="M339" s="1372"/>
      <c r="N339" s="4"/>
      <c r="O339" s="4"/>
      <c r="P339" s="35"/>
      <c r="Q339" s="35"/>
      <c r="R339" s="35"/>
      <c r="S339" s="3"/>
      <c r="T339" s="3" t="s">
        <v>90</v>
      </c>
      <c r="V339" s="3"/>
      <c r="W339" s="3"/>
      <c r="X339" s="3"/>
      <c r="Y339" s="3"/>
      <c r="AA339" s="1372">
        <v>9167735866</v>
      </c>
      <c r="AB339" s="1372"/>
      <c r="AC339" s="1372"/>
      <c r="AD339" s="1372"/>
      <c r="AE339" s="1372"/>
      <c r="AF339" s="1372"/>
      <c r="AG339" s="4"/>
      <c r="AH339" s="4"/>
      <c r="AI339" s="35"/>
      <c r="AJ339" s="35"/>
      <c r="AK339" s="35"/>
    </row>
    <row r="340" spans="1:66" ht="12.95" customHeight="1">
      <c r="B340" s="3" t="s">
        <v>77</v>
      </c>
      <c r="C340" s="3"/>
      <c r="D340" s="3"/>
      <c r="E340" s="3"/>
      <c r="F340" s="3"/>
      <c r="G340" s="3"/>
      <c r="H340" s="1369" t="s">
        <v>2650</v>
      </c>
      <c r="I340" s="1369"/>
      <c r="J340" s="1369"/>
      <c r="K340" s="1369"/>
      <c r="L340" s="1369"/>
      <c r="M340" s="1369"/>
      <c r="N340" s="1352"/>
      <c r="O340" s="1352"/>
      <c r="P340" s="1352"/>
      <c r="Q340" s="1352"/>
      <c r="R340" s="1352"/>
      <c r="S340" s="3"/>
      <c r="T340" s="3" t="s">
        <v>77</v>
      </c>
      <c r="V340" s="3"/>
      <c r="W340" s="3"/>
      <c r="X340" s="3"/>
      <c r="Y340" s="3"/>
      <c r="AA340" s="1369" t="s">
        <v>2647</v>
      </c>
      <c r="AB340" s="1369"/>
      <c r="AC340" s="1369"/>
      <c r="AD340" s="1369"/>
      <c r="AE340" s="1369"/>
      <c r="AF340" s="1369"/>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2" t="s">
        <v>2651</v>
      </c>
      <c r="Q342" s="1352"/>
      <c r="R342" s="1352"/>
      <c r="S342" s="1352"/>
      <c r="T342" s="1352"/>
      <c r="U342" s="1352"/>
      <c r="V342" s="1352"/>
      <c r="W342" s="1352"/>
      <c r="X342" s="1352"/>
      <c r="Y342" s="1352"/>
      <c r="Z342" s="1352"/>
      <c r="AA342" s="1352"/>
      <c r="AB342" s="1352"/>
      <c r="AC342" s="1352"/>
      <c r="AD342" s="1352"/>
      <c r="AE342" s="1352"/>
      <c r="BN342" t="s">
        <v>600</v>
      </c>
    </row>
    <row r="343" spans="1:66" ht="12.95" customHeight="1">
      <c r="B343" s="4"/>
      <c r="C343" s="4"/>
      <c r="D343" s="4"/>
      <c r="E343" s="4"/>
      <c r="F343" s="4"/>
      <c r="I343" s="4" t="s">
        <v>480</v>
      </c>
      <c r="P343" s="1369"/>
      <c r="Q343" s="1369"/>
      <c r="R343" s="1369"/>
      <c r="S343" s="1369"/>
      <c r="T343" s="1369"/>
      <c r="U343" s="1369"/>
      <c r="V343" s="1369"/>
      <c r="W343" s="1369"/>
      <c r="X343" s="1369"/>
      <c r="Y343" s="1369"/>
      <c r="Z343" s="1369"/>
      <c r="AA343" s="1369"/>
      <c r="AB343" s="1369"/>
      <c r="AC343" s="1369"/>
      <c r="AD343" s="1369"/>
      <c r="AE343" s="1369"/>
      <c r="BN343" t="s">
        <v>678</v>
      </c>
    </row>
    <row r="344" spans="1:66" ht="12.95" customHeight="1">
      <c r="B344" s="4"/>
      <c r="C344" s="4"/>
      <c r="D344" s="4"/>
      <c r="E344" s="4"/>
      <c r="F344" s="4"/>
      <c r="I344" s="4" t="s">
        <v>76</v>
      </c>
      <c r="P344" s="1369"/>
      <c r="Q344" s="1369"/>
      <c r="R344" s="1369"/>
      <c r="S344" s="1369"/>
      <c r="T344" s="1369"/>
      <c r="U344" s="1369"/>
      <c r="V344" s="1369"/>
      <c r="W344" s="1369"/>
      <c r="X344" s="1369"/>
      <c r="Y344" s="1369"/>
      <c r="Z344" s="1369"/>
      <c r="AA344" s="1369"/>
      <c r="AB344" s="1369"/>
      <c r="AC344" s="1369"/>
      <c r="AD344" s="1369"/>
      <c r="AE344" s="1369"/>
      <c r="BN344" t="s">
        <v>554</v>
      </c>
    </row>
    <row r="345" spans="1:66" ht="12.95" customHeight="1">
      <c r="B345" s="4"/>
      <c r="C345" s="4"/>
      <c r="D345" s="4"/>
      <c r="E345" s="4"/>
      <c r="F345" s="4"/>
      <c r="G345" s="4"/>
      <c r="I345" s="4" t="s">
        <v>88</v>
      </c>
      <c r="P345" s="1369"/>
      <c r="Q345" s="1369"/>
      <c r="R345" s="1369"/>
      <c r="S345" s="1369"/>
      <c r="T345" s="1369"/>
      <c r="U345" s="1369"/>
      <c r="V345" s="1369"/>
      <c r="W345" s="1369"/>
      <c r="X345" s="1369"/>
      <c r="Y345" s="1369"/>
      <c r="Z345" s="1369"/>
      <c r="AA345" s="1369"/>
      <c r="AB345" s="1369"/>
      <c r="AC345" s="1369"/>
      <c r="AD345" s="1369"/>
      <c r="AE345" s="1369"/>
    </row>
    <row r="346" spans="1:66" ht="12.95" customHeight="1">
      <c r="B346" s="4"/>
      <c r="C346" s="4"/>
      <c r="D346" s="4"/>
      <c r="E346" s="4"/>
      <c r="F346" s="4"/>
      <c r="G346" s="4"/>
      <c r="H346" s="324"/>
      <c r="I346" s="4" t="s">
        <v>89</v>
      </c>
      <c r="P346" s="1372"/>
      <c r="Q346" s="1372"/>
      <c r="R346" s="1372"/>
      <c r="S346" s="1372"/>
      <c r="T346" s="1372"/>
      <c r="U346" s="1372"/>
      <c r="V346" s="1372"/>
      <c r="W346" s="1372"/>
      <c r="X346" s="1372"/>
      <c r="Y346" s="1372"/>
      <c r="Z346" s="1372"/>
      <c r="AA346" s="4" t="s">
        <v>207</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372"/>
      <c r="Q347" s="1372"/>
      <c r="R347" s="1372"/>
      <c r="S347" s="1372"/>
      <c r="T347" s="1372"/>
      <c r="U347" s="1372"/>
      <c r="V347" s="1372"/>
      <c r="W347" s="1372"/>
      <c r="X347" s="1372"/>
      <c r="Y347" s="1372"/>
      <c r="Z347" s="1372"/>
      <c r="AF347" s="324"/>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36" t="s">
        <v>551</v>
      </c>
      <c r="B350" s="1636"/>
      <c r="C350" s="1636"/>
      <c r="D350" s="1636"/>
      <c r="E350" s="1636"/>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1636"/>
      <c r="AD350" s="1636"/>
      <c r="AE350" s="1636"/>
      <c r="AF350" s="1636"/>
      <c r="AG350" s="1636"/>
      <c r="AH350" s="1636"/>
      <c r="AI350" s="1636"/>
      <c r="AJ350" s="1636"/>
      <c r="AK350" s="1636"/>
      <c r="AL350" s="1636"/>
      <c r="AM350" s="95"/>
      <c r="AN350" s="95"/>
      <c r="AO350" s="95"/>
      <c r="AP350" s="95"/>
      <c r="AQ350" s="95"/>
      <c r="AR350" s="95"/>
      <c r="AS350" s="95"/>
      <c r="AT350" s="95"/>
      <c r="AU350" s="95"/>
      <c r="AV350" s="95"/>
      <c r="AW350" s="95"/>
      <c r="AX350" s="95"/>
      <c r="AY350" s="95"/>
    </row>
    <row r="351" spans="1:66" ht="12.95" customHeight="1" thickBot="1">
      <c r="A351" s="1637"/>
      <c r="B351" s="1637"/>
      <c r="C351" s="1637"/>
      <c r="D351" s="1637"/>
      <c r="E351" s="1637"/>
      <c r="F351" s="1637"/>
      <c r="G351" s="1637"/>
      <c r="H351" s="1637"/>
      <c r="I351" s="1637"/>
      <c r="J351" s="1637"/>
      <c r="K351" s="1637"/>
      <c r="L351" s="1637"/>
      <c r="M351" s="1637"/>
      <c r="N351" s="1637"/>
      <c r="O351" s="1637"/>
      <c r="P351" s="1637"/>
      <c r="Q351" s="1637"/>
      <c r="R351" s="1637"/>
      <c r="S351" s="1637"/>
      <c r="T351" s="1637"/>
      <c r="U351" s="1637"/>
      <c r="V351" s="1637"/>
      <c r="W351" s="1637"/>
      <c r="X351" s="1637"/>
      <c r="Y351" s="1637"/>
      <c r="Z351" s="1637"/>
      <c r="AA351" s="1637"/>
      <c r="AB351" s="1637"/>
      <c r="AC351" s="1637"/>
      <c r="AD351" s="1637"/>
      <c r="AE351" s="1637"/>
      <c r="AF351" s="1637"/>
      <c r="AG351" s="1637"/>
      <c r="AH351" s="1637"/>
      <c r="AI351" s="1637"/>
      <c r="AJ351" s="1637"/>
      <c r="AK351" s="1637"/>
      <c r="AL351" s="163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2525</v>
      </c>
      <c r="M354" s="1370" t="s">
        <v>554</v>
      </c>
      <c r="N354" s="1370"/>
      <c r="P354" t="s">
        <v>1830</v>
      </c>
      <c r="AJ354" s="1370" t="s">
        <v>600</v>
      </c>
      <c r="AK354" s="1370"/>
    </row>
    <row r="355" spans="1:37" ht="12.95" customHeight="1">
      <c r="D355" s="3" t="s">
        <v>1819</v>
      </c>
      <c r="M355" s="1370" t="s">
        <v>600</v>
      </c>
      <c r="N355" s="1370"/>
      <c r="P355" s="3" t="s">
        <v>1979</v>
      </c>
      <c r="AJ355" s="1606"/>
      <c r="AK355" s="1606"/>
    </row>
    <row r="356" spans="1:37" ht="12.95" customHeight="1">
      <c r="D356" s="3" t="s">
        <v>716</v>
      </c>
      <c r="M356" s="1370" t="s">
        <v>600</v>
      </c>
      <c r="N356" s="1370"/>
      <c r="P356" t="s">
        <v>1829</v>
      </c>
      <c r="AJ356" s="1370" t="s">
        <v>600</v>
      </c>
      <c r="AK356" s="1370"/>
    </row>
    <row r="357" spans="1:37" ht="12.95" customHeight="1">
      <c r="D357" s="3" t="s">
        <v>717</v>
      </c>
      <c r="M357" s="1370" t="s">
        <v>600</v>
      </c>
      <c r="N357" s="1370"/>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70" t="s">
        <v>600</v>
      </c>
      <c r="O362" s="1370"/>
      <c r="P362" s="40"/>
      <c r="Q362" s="40"/>
      <c r="R362" s="40"/>
      <c r="S362" s="40"/>
      <c r="T362" s="40"/>
      <c r="U362" s="40"/>
      <c r="V362" s="40"/>
      <c r="W362" s="40"/>
      <c r="X362" s="40"/>
      <c r="Y362" s="40"/>
      <c r="Z362" s="40"/>
      <c r="AC362" s="40"/>
      <c r="AD362" s="40"/>
      <c r="AE362" s="40"/>
    </row>
    <row r="363" spans="1:37" ht="12.95" customHeight="1">
      <c r="E363" t="s">
        <v>371</v>
      </c>
      <c r="Y363" s="1370" t="s">
        <v>600</v>
      </c>
      <c r="Z363" s="1370"/>
    </row>
    <row r="364" spans="1:37" ht="12.95" customHeight="1">
      <c r="D364" s="4" t="s">
        <v>1018</v>
      </c>
      <c r="Q364" s="1352"/>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70" t="s">
        <v>600</v>
      </c>
      <c r="K366" s="1370"/>
      <c r="L366" s="40"/>
      <c r="M366" s="40"/>
      <c r="N366" s="40"/>
      <c r="O366" s="40"/>
      <c r="P366" s="40"/>
      <c r="Q366" s="40"/>
      <c r="R366" s="40"/>
      <c r="S366" s="40"/>
      <c r="T366" s="40"/>
      <c r="U366" s="40"/>
      <c r="V366" s="40"/>
      <c r="W366" s="40"/>
      <c r="X366" s="40"/>
      <c r="Y366" s="40"/>
      <c r="Z366" s="40"/>
      <c r="AC366" s="40"/>
      <c r="AD366" s="40"/>
      <c r="AE366" s="40"/>
    </row>
    <row r="367" spans="1:37" ht="12.95" customHeight="1">
      <c r="E367" s="1727" t="s">
        <v>718</v>
      </c>
      <c r="F367" s="1727"/>
      <c r="G367" s="1727"/>
      <c r="H367" s="1727"/>
      <c r="I367" s="1727"/>
      <c r="J367" s="1727"/>
      <c r="K367" s="1727"/>
      <c r="L367" s="1727"/>
      <c r="M367" s="1727"/>
      <c r="N367" s="1727"/>
      <c r="O367" s="1727"/>
      <c r="P367" s="1727"/>
      <c r="Q367" s="1727"/>
      <c r="R367" s="1727"/>
      <c r="S367" s="1727"/>
      <c r="T367" s="1727"/>
      <c r="U367" s="1727"/>
      <c r="V367" s="1727"/>
      <c r="W367" s="1727"/>
      <c r="X367" s="1727"/>
      <c r="Y367" s="1727"/>
      <c r="Z367" s="1727"/>
      <c r="AA367" s="1727"/>
      <c r="AB367" s="1727"/>
      <c r="AC367" s="1727"/>
      <c r="AD367" s="1727"/>
      <c r="AE367" s="1727"/>
      <c r="AF367" s="1727"/>
      <c r="AG367" s="1727"/>
      <c r="AH367" s="1727"/>
    </row>
    <row r="368" spans="1:37" ht="12.95" customHeight="1">
      <c r="E368" s="1727"/>
      <c r="F368" s="1727"/>
      <c r="G368" s="1727"/>
      <c r="H368" s="1727"/>
      <c r="I368" s="1727"/>
      <c r="J368" s="1727"/>
      <c r="K368" s="1727"/>
      <c r="L368" s="1727"/>
      <c r="M368" s="1727"/>
      <c r="N368" s="1727"/>
      <c r="O368" s="1727"/>
      <c r="P368" s="1727"/>
      <c r="Q368" s="1727"/>
      <c r="R368" s="1727"/>
      <c r="S368" s="1727"/>
      <c r="T368" s="1727"/>
      <c r="U368" s="1727"/>
      <c r="V368" s="1727"/>
      <c r="W368" s="1727"/>
      <c r="X368" s="1727"/>
      <c r="Y368" s="1727"/>
      <c r="Z368" s="1727"/>
      <c r="AA368" s="1727"/>
      <c r="AB368" s="1727"/>
      <c r="AC368" s="1727"/>
      <c r="AD368" s="1727"/>
      <c r="AE368" s="1727"/>
      <c r="AF368" s="1727"/>
      <c r="AG368" s="1727"/>
      <c r="AH368" s="1727"/>
    </row>
    <row r="369" spans="1:36" ht="12.95" customHeight="1">
      <c r="E369" s="4" t="s">
        <v>457</v>
      </c>
      <c r="F369" s="4"/>
      <c r="G369" s="4"/>
      <c r="H369" s="4"/>
      <c r="I369" s="4"/>
      <c r="J369" s="4"/>
      <c r="K369" s="4"/>
      <c r="L369" s="4"/>
      <c r="N369" s="1726"/>
      <c r="O369" s="1726"/>
      <c r="P369" s="1726"/>
      <c r="Q369" s="1726"/>
      <c r="R369" s="4"/>
      <c r="U369" s="4" t="s">
        <v>458</v>
      </c>
      <c r="V369" s="4"/>
      <c r="W369" s="4"/>
      <c r="X369" s="4"/>
      <c r="Y369" s="4"/>
      <c r="Z369" s="4"/>
      <c r="AA369" s="4"/>
      <c r="AB369" s="4"/>
      <c r="AC369" s="1726"/>
      <c r="AD369" s="1726"/>
      <c r="AE369" s="1726"/>
      <c r="AF369" s="1726"/>
    </row>
    <row r="370" spans="1:36" ht="12.95" customHeight="1">
      <c r="E370" s="4" t="s">
        <v>459</v>
      </c>
      <c r="F370" s="4"/>
      <c r="G370" s="4"/>
      <c r="H370" s="4"/>
      <c r="I370" s="4"/>
      <c r="J370" s="4"/>
      <c r="K370" s="4"/>
      <c r="L370" s="4"/>
      <c r="N370" s="1726"/>
      <c r="O370" s="1726"/>
      <c r="P370" s="1726"/>
      <c r="Q370" s="1726"/>
      <c r="R370" s="4"/>
      <c r="U370" s="4" t="s">
        <v>0</v>
      </c>
      <c r="V370" s="4"/>
      <c r="W370" s="4"/>
      <c r="X370" s="4"/>
      <c r="Y370" s="4"/>
      <c r="Z370" s="4"/>
      <c r="AA370" s="4"/>
      <c r="AB370" s="4"/>
      <c r="AC370" s="1726"/>
      <c r="AD370" s="1726"/>
      <c r="AE370" s="1726"/>
      <c r="AF370" s="1726"/>
    </row>
    <row r="371" spans="1:36" ht="12.95" customHeight="1">
      <c r="E371" s="4" t="s">
        <v>1</v>
      </c>
      <c r="F371" s="4"/>
      <c r="G371" s="4"/>
      <c r="H371" s="4"/>
      <c r="I371" s="4"/>
      <c r="J371" s="4"/>
      <c r="K371" s="4"/>
      <c r="L371" s="4"/>
      <c r="N371" s="1726"/>
      <c r="O371" s="1726"/>
      <c r="P371" s="1726"/>
      <c r="Q371" s="1726"/>
      <c r="R371" s="4"/>
      <c r="V371" s="4"/>
      <c r="W371" s="4"/>
      <c r="X371" s="4"/>
      <c r="Y371" s="4"/>
      <c r="Z371" s="4"/>
      <c r="AA371" s="4"/>
      <c r="AB371" s="4"/>
    </row>
    <row r="372" spans="1:36" ht="12.95" customHeight="1">
      <c r="E372" s="4" t="s">
        <v>2</v>
      </c>
      <c r="F372" s="4"/>
      <c r="G372" s="4"/>
      <c r="H372" s="4"/>
      <c r="I372" s="4"/>
      <c r="J372" s="4"/>
      <c r="K372" s="4"/>
      <c r="L372" s="4"/>
      <c r="N372" s="1819"/>
      <c r="O372" s="1819"/>
      <c r="P372" s="1819"/>
      <c r="Q372" s="1819"/>
      <c r="R372" s="1819"/>
      <c r="S372" s="1819"/>
      <c r="T372" s="1819"/>
      <c r="U372" s="1819"/>
      <c r="V372" s="1819"/>
      <c r="W372" s="1819"/>
      <c r="X372" s="1819"/>
      <c r="Y372" s="1819"/>
      <c r="Z372" s="1819"/>
      <c r="AA372" s="1819"/>
      <c r="AB372" s="1819"/>
      <c r="AC372" s="1819"/>
      <c r="AD372" s="1819"/>
      <c r="AE372" s="1819"/>
      <c r="AF372" s="1819"/>
    </row>
    <row r="373" spans="1:36" ht="12.95" customHeight="1">
      <c r="E373" s="4"/>
      <c r="F373" s="4"/>
      <c r="G373" s="4"/>
      <c r="H373" s="4"/>
      <c r="I373" s="4"/>
      <c r="J373" s="4"/>
      <c r="K373" s="4"/>
      <c r="L373" s="4"/>
      <c r="N373" s="1820"/>
      <c r="O373" s="1820"/>
      <c r="P373" s="1820"/>
      <c r="Q373" s="1820"/>
      <c r="R373" s="1820"/>
      <c r="S373" s="1820"/>
      <c r="T373" s="1820"/>
      <c r="U373" s="1820"/>
      <c r="V373" s="1820"/>
      <c r="W373" s="1820"/>
      <c r="X373" s="1820"/>
      <c r="Y373" s="1820"/>
      <c r="Z373" s="1820"/>
      <c r="AA373" s="1820"/>
      <c r="AB373" s="1820"/>
      <c r="AC373" s="1820"/>
      <c r="AD373" s="1820"/>
      <c r="AE373" s="1820"/>
      <c r="AF373" s="1820"/>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2507</v>
      </c>
      <c r="F376" s="4"/>
      <c r="G376" s="4"/>
      <c r="H376" s="4"/>
      <c r="I376" s="4"/>
      <c r="J376" s="4"/>
      <c r="K376" s="4"/>
      <c r="L376" s="4"/>
      <c r="N376" t="s">
        <v>2501</v>
      </c>
      <c r="R376" s="27" t="s">
        <v>306</v>
      </c>
      <c r="S376" s="1725"/>
      <c r="T376" s="1725"/>
      <c r="U376" s="1" t="s">
        <v>307</v>
      </c>
      <c r="V376" s="1725"/>
      <c r="W376" s="1725"/>
      <c r="Y376" t="s">
        <v>2501</v>
      </c>
      <c r="AC376" s="27" t="s">
        <v>306</v>
      </c>
      <c r="AD376" s="1725"/>
      <c r="AE376" s="1725"/>
      <c r="AF376" s="1" t="s">
        <v>307</v>
      </c>
      <c r="AG376" s="1725"/>
      <c r="AH376" s="1725"/>
    </row>
    <row r="377" spans="1:36" ht="12.95" customHeight="1">
      <c r="E377" s="4" t="s">
        <v>1044</v>
      </c>
      <c r="F377" s="4"/>
      <c r="G377" s="4"/>
      <c r="H377" s="4"/>
      <c r="I377" s="4"/>
      <c r="J377" s="4"/>
      <c r="K377" s="4"/>
      <c r="L377" s="4"/>
      <c r="N377" s="1725"/>
      <c r="O377" s="1725"/>
      <c r="P377" s="1725"/>
    </row>
    <row r="378" spans="1:36" ht="12.95" customHeight="1">
      <c r="E378" s="218" t="s">
        <v>2508</v>
      </c>
      <c r="F378" s="4"/>
      <c r="G378" s="4"/>
      <c r="H378" s="4"/>
      <c r="I378" s="4"/>
      <c r="J378" s="4"/>
      <c r="K378" s="4"/>
      <c r="L378" s="4"/>
      <c r="AG378" s="1650" t="s">
        <v>600</v>
      </c>
      <c r="AH378" s="1650"/>
    </row>
    <row r="379" spans="1:36" ht="12.95" customHeight="1">
      <c r="E379" s="4"/>
      <c r="F379" s="4"/>
      <c r="G379" s="4" t="s">
        <v>2509</v>
      </c>
      <c r="H379" s="4"/>
      <c r="I379" s="4"/>
      <c r="J379" s="4"/>
      <c r="K379" s="4"/>
      <c r="L379" s="4"/>
      <c r="AG379" s="1650" t="s">
        <v>600</v>
      </c>
      <c r="AH379" s="1650"/>
    </row>
    <row r="380" spans="1:36" ht="12.95" customHeight="1">
      <c r="E380" s="4"/>
      <c r="F380" s="4"/>
      <c r="G380" s="349" t="s">
        <v>1045</v>
      </c>
      <c r="H380" s="4"/>
      <c r="I380" s="4"/>
      <c r="J380" s="4"/>
      <c r="K380" s="4"/>
      <c r="L380" s="4"/>
      <c r="V380" s="1370" t="s">
        <v>600</v>
      </c>
      <c r="W380" s="1370"/>
      <c r="Y380" s="22" t="s">
        <v>1020</v>
      </c>
    </row>
    <row r="381" spans="1:36" ht="12.95" customHeight="1">
      <c r="E381" s="4" t="s">
        <v>1021</v>
      </c>
      <c r="F381" s="4"/>
      <c r="G381" s="4"/>
      <c r="H381" s="4"/>
      <c r="I381" s="4"/>
      <c r="J381" s="4"/>
      <c r="K381" s="4"/>
      <c r="L381" s="4"/>
      <c r="V381" s="1370" t="s">
        <v>600</v>
      </c>
      <c r="W381" s="1370"/>
      <c r="Y381" s="4" t="s">
        <v>1022</v>
      </c>
    </row>
    <row r="382" spans="1:36" ht="12.95" customHeight="1"/>
    <row r="383" spans="1:36" ht="12.95" customHeight="1">
      <c r="A383" s="2" t="s">
        <v>79</v>
      </c>
      <c r="B383" s="2"/>
    </row>
    <row r="384" spans="1:36" ht="12.95" customHeight="1">
      <c r="D384" t="s">
        <v>429</v>
      </c>
      <c r="J384" s="1352" t="s">
        <v>2690</v>
      </c>
      <c r="K384" s="1352"/>
      <c r="L384" s="1352"/>
      <c r="M384" s="1352"/>
      <c r="N384" s="1352"/>
      <c r="O384" s="1352"/>
      <c r="P384" s="1352"/>
      <c r="Q384" s="1352"/>
      <c r="R384" s="1352"/>
      <c r="S384" s="1352"/>
      <c r="T384" s="1352"/>
      <c r="U384" s="1352"/>
      <c r="V384" s="8" t="s">
        <v>84</v>
      </c>
      <c r="W384" s="8"/>
      <c r="X384" s="8"/>
      <c r="Y384" s="8"/>
      <c r="Z384" s="8"/>
      <c r="AA384" s="8"/>
      <c r="AB384" s="8"/>
      <c r="AC384" s="1352" t="s">
        <v>2693</v>
      </c>
      <c r="AD384" s="1352"/>
      <c r="AE384" s="1352"/>
      <c r="AF384" s="1352"/>
      <c r="AG384" s="1352"/>
      <c r="AH384" s="1352"/>
      <c r="AI384" s="1352"/>
      <c r="AJ384" s="1352"/>
    </row>
    <row r="385" spans="4:36" ht="12.95" customHeight="1">
      <c r="D385" s="3" t="s">
        <v>1325</v>
      </c>
      <c r="J385" s="1369" t="s">
        <v>2691</v>
      </c>
      <c r="K385" s="1369"/>
      <c r="L385" s="1369"/>
      <c r="M385" s="1369"/>
      <c r="N385" s="1369"/>
      <c r="O385" s="1369"/>
      <c r="P385" s="1369"/>
      <c r="Q385" s="1369"/>
      <c r="R385" s="1369"/>
      <c r="S385" s="1369"/>
      <c r="T385" s="1369"/>
      <c r="U385" s="1369"/>
      <c r="V385" s="3" t="s">
        <v>1325</v>
      </c>
      <c r="W385" s="8"/>
      <c r="X385" s="8"/>
      <c r="Y385" s="8"/>
      <c r="Z385" s="8"/>
      <c r="AA385" s="8"/>
      <c r="AB385" s="8"/>
      <c r="AC385" s="1352" t="s">
        <v>2694</v>
      </c>
      <c r="AD385" s="1352"/>
      <c r="AE385" s="1352"/>
      <c r="AF385" s="1352"/>
      <c r="AG385" s="1352"/>
      <c r="AH385" s="1352"/>
      <c r="AI385" s="1352"/>
      <c r="AJ385" s="1352"/>
    </row>
    <row r="386" spans="4:36" ht="12.95" customHeight="1">
      <c r="D386" s="3" t="s">
        <v>444</v>
      </c>
      <c r="J386" s="1369" t="s">
        <v>2692</v>
      </c>
      <c r="K386" s="1369"/>
      <c r="L386" s="1369"/>
      <c r="M386" s="1369"/>
      <c r="N386" s="1369"/>
      <c r="O386" s="1369"/>
      <c r="P386" s="1369"/>
      <c r="Q386" s="1369"/>
      <c r="R386" s="1369"/>
      <c r="S386" s="1369"/>
      <c r="T386" s="1369"/>
      <c r="U386" s="1369"/>
      <c r="V386" s="3" t="s">
        <v>444</v>
      </c>
      <c r="W386" s="8"/>
      <c r="X386" s="8"/>
      <c r="Y386" s="8"/>
      <c r="Z386" s="8"/>
      <c r="AA386" s="8"/>
      <c r="AB386" s="8"/>
      <c r="AC386" s="1352" t="s">
        <v>2692</v>
      </c>
      <c r="AD386" s="1352"/>
      <c r="AE386" s="1352"/>
      <c r="AF386" s="1352"/>
      <c r="AG386" s="1352"/>
      <c r="AH386" s="1352"/>
      <c r="AI386" s="1352"/>
      <c r="AJ386" s="1352"/>
    </row>
    <row r="387" spans="4:36" ht="12.95" customHeight="1">
      <c r="D387" t="s">
        <v>1321</v>
      </c>
      <c r="J387" s="1524" t="s">
        <v>2695</v>
      </c>
      <c r="K387" s="1524"/>
      <c r="L387" s="1524"/>
      <c r="M387" s="1524"/>
      <c r="N387" s="1524"/>
      <c r="O387" s="1524"/>
      <c r="P387" s="1524"/>
      <c r="Q387" s="1524"/>
      <c r="R387" s="1524"/>
      <c r="S387" s="1524"/>
      <c r="T387" s="1524"/>
      <c r="U387" s="1524"/>
      <c r="V387" s="1352" t="s">
        <v>2696</v>
      </c>
      <c r="W387" s="1352"/>
      <c r="X387" s="1352"/>
      <c r="Y387" s="1352"/>
      <c r="Z387" s="1352"/>
      <c r="AA387" s="1352"/>
      <c r="AB387" s="1352"/>
      <c r="AC387" s="1352"/>
      <c r="AD387" s="1352"/>
      <c r="AE387" s="1352"/>
      <c r="AF387" s="1352"/>
      <c r="AG387" s="1352"/>
      <c r="AH387" s="1352"/>
      <c r="AI387" s="1352"/>
      <c r="AJ387" s="1352"/>
    </row>
    <row r="388" spans="4:36" ht="12.95" customHeight="1">
      <c r="D388" t="s">
        <v>4</v>
      </c>
      <c r="Q388" s="1618">
        <v>44447</v>
      </c>
      <c r="R388" s="1618"/>
      <c r="S388" s="1618"/>
      <c r="T388" s="1618"/>
      <c r="U388" s="1618"/>
      <c r="V388" t="s">
        <v>310</v>
      </c>
      <c r="AI388" s="1370" t="s">
        <v>678</v>
      </c>
      <c r="AJ388" s="1370"/>
    </row>
    <row r="389" spans="4:36" ht="12.95" customHeight="1">
      <c r="D389" t="s">
        <v>5</v>
      </c>
      <c r="Q389" s="1672"/>
      <c r="R389" s="1444"/>
      <c r="S389" s="1444"/>
      <c r="T389" s="1444"/>
      <c r="U389" s="1444"/>
      <c r="W389" s="21" t="s">
        <v>75</v>
      </c>
      <c r="AG389" s="1660"/>
      <c r="AH389" s="1660"/>
      <c r="AI389" s="1660"/>
      <c r="AJ389" s="1660"/>
    </row>
    <row r="390" spans="4:36" ht="12.95" customHeight="1">
      <c r="D390" t="s">
        <v>428</v>
      </c>
      <c r="Q390" s="1831">
        <v>1</v>
      </c>
      <c r="R390" s="1831"/>
      <c r="S390" s="1831"/>
      <c r="T390" s="1831"/>
      <c r="U390" s="1831"/>
      <c r="V390" s="3" t="s">
        <v>1324</v>
      </c>
      <c r="AG390" s="1842"/>
      <c r="AH390" s="1842"/>
      <c r="AI390" s="1842"/>
      <c r="AJ390" s="1842"/>
    </row>
    <row r="391" spans="4:36" ht="12.95" customHeight="1">
      <c r="D391" t="s">
        <v>89</v>
      </c>
      <c r="I391" s="1646">
        <v>9169600240</v>
      </c>
      <c r="J391" s="1646"/>
      <c r="K391" s="1646"/>
      <c r="L391" s="1646"/>
      <c r="M391" s="1646"/>
      <c r="N391" s="1646"/>
      <c r="Q391" s="4" t="s">
        <v>207</v>
      </c>
      <c r="S391" s="1732"/>
      <c r="T391" s="1732"/>
      <c r="U391" s="1732"/>
      <c r="V391" t="s">
        <v>74</v>
      </c>
      <c r="AI391" s="1370" t="s">
        <v>678</v>
      </c>
      <c r="AJ391" s="1370"/>
    </row>
    <row r="392" spans="4:36" ht="12.95" customHeight="1">
      <c r="D392" t="s">
        <v>311</v>
      </c>
      <c r="Q392" s="1536"/>
      <c r="R392" s="1536"/>
      <c r="S392" s="1536"/>
      <c r="T392" s="1536"/>
      <c r="U392" s="1536"/>
      <c r="V392" t="s">
        <v>312</v>
      </c>
      <c r="AG392" s="1660"/>
      <c r="AH392" s="1660"/>
      <c r="AI392" s="1660"/>
      <c r="AJ392" s="1660"/>
    </row>
    <row r="393" spans="4:36" ht="12.95" customHeight="1">
      <c r="D393" t="s">
        <v>313</v>
      </c>
      <c r="Q393" s="1659"/>
      <c r="R393" s="1659"/>
      <c r="S393" s="1659"/>
      <c r="T393" s="1659"/>
      <c r="U393" s="1659"/>
      <c r="V393" t="s">
        <v>1305</v>
      </c>
      <c r="AG393" s="1660"/>
      <c r="AH393" s="1660"/>
      <c r="AI393" s="1660"/>
      <c r="AJ393" s="1660"/>
    </row>
    <row r="394" spans="4:36" ht="12.95" customHeight="1">
      <c r="D394" t="s">
        <v>1304</v>
      </c>
      <c r="AG394" s="1660"/>
      <c r="AH394" s="1660"/>
      <c r="AI394" s="1660"/>
      <c r="AJ394" s="1660"/>
    </row>
    <row r="395" spans="4:36" ht="12.95" customHeight="1">
      <c r="AG395" s="491"/>
      <c r="AH395" s="491"/>
      <c r="AI395" s="491"/>
      <c r="AJ395" s="491"/>
    </row>
    <row r="396" spans="4:36" ht="12.95" customHeight="1">
      <c r="D396" s="3" t="s">
        <v>2620</v>
      </c>
      <c r="AG396" s="491"/>
      <c r="AH396" s="491"/>
      <c r="AI396" s="1370" t="s">
        <v>554</v>
      </c>
      <c r="AJ396" s="1370"/>
    </row>
    <row r="397" spans="4:36" ht="12.95" customHeight="1">
      <c r="D397" s="3" t="s">
        <v>1848</v>
      </c>
      <c r="T397" s="1777" t="s">
        <v>2690</v>
      </c>
      <c r="U397" s="1777"/>
      <c r="V397" s="1777"/>
      <c r="W397" s="1777"/>
      <c r="X397" s="1777"/>
      <c r="Y397" s="1777"/>
      <c r="Z397" s="1777"/>
      <c r="AA397" s="1777"/>
      <c r="AB397" s="1777"/>
      <c r="AC397" s="1777"/>
      <c r="AD397" s="1777"/>
      <c r="AE397" s="1777"/>
      <c r="AF397" s="1777"/>
      <c r="AG397" s="1777"/>
      <c r="AH397" s="1777"/>
      <c r="AI397" s="1777"/>
      <c r="AJ397" s="1777"/>
    </row>
    <row r="398" spans="4:36" ht="12.95" customHeight="1">
      <c r="D398" s="3" t="s">
        <v>1847</v>
      </c>
      <c r="T398" s="1777"/>
      <c r="U398" s="1777"/>
      <c r="V398" s="1777"/>
      <c r="W398" s="1777"/>
      <c r="X398" s="1777"/>
      <c r="Y398" s="1777"/>
      <c r="Z398" s="1777"/>
      <c r="AA398" s="1777"/>
      <c r="AB398" s="1777"/>
      <c r="AC398" s="1777"/>
      <c r="AD398" s="1777"/>
      <c r="AE398" s="1777"/>
      <c r="AF398" s="1777"/>
      <c r="AG398" s="1777"/>
      <c r="AH398" s="1777"/>
      <c r="AI398" s="1777"/>
      <c r="AJ398" s="1777"/>
    </row>
    <row r="399" spans="4:36" ht="12.95" customHeight="1">
      <c r="AG399" s="491"/>
      <c r="AH399" s="491"/>
      <c r="AI399" s="491"/>
      <c r="AJ399" s="491"/>
    </row>
    <row r="400" spans="4:36" ht="12.95" customHeight="1">
      <c r="D400" s="3" t="s">
        <v>1841</v>
      </c>
      <c r="S400" s="1777" t="s">
        <v>678</v>
      </c>
      <c r="T400" s="1777"/>
      <c r="U400" s="1777"/>
      <c r="V400" t="s">
        <v>1842</v>
      </c>
      <c r="AG400" s="1811"/>
      <c r="AH400" s="1811"/>
      <c r="AI400" s="1811"/>
      <c r="AJ400" s="1811"/>
    </row>
    <row r="401" spans="1:36" ht="12.95" customHeight="1">
      <c r="D401" s="3" t="s">
        <v>1839</v>
      </c>
      <c r="S401" s="1777" t="s">
        <v>600</v>
      </c>
      <c r="T401" s="1777"/>
      <c r="U401" s="1777"/>
      <c r="V401" t="s">
        <v>1844</v>
      </c>
      <c r="AE401" s="1812"/>
      <c r="AF401" s="1812"/>
      <c r="AG401" s="1812"/>
      <c r="AH401" s="1812"/>
      <c r="AI401" s="1812"/>
      <c r="AJ401" s="1812"/>
    </row>
    <row r="402" spans="1:36" ht="12.95" customHeight="1">
      <c r="D402" s="3" t="s">
        <v>1840</v>
      </c>
      <c r="K402" s="1800"/>
      <c r="L402" s="1800"/>
      <c r="M402" s="1800"/>
      <c r="N402" s="1800"/>
      <c r="O402" s="1800"/>
      <c r="P402" s="1800"/>
      <c r="Q402" s="1800"/>
      <c r="R402" s="1800"/>
      <c r="S402" s="1800"/>
      <c r="T402" s="1800"/>
      <c r="U402" s="1800"/>
      <c r="V402" s="1800"/>
      <c r="W402" s="1800"/>
      <c r="X402" s="1800"/>
      <c r="Y402" s="1800"/>
      <c r="Z402" s="1800"/>
      <c r="AA402" s="1800"/>
      <c r="AB402" s="1800"/>
      <c r="AC402" s="1800"/>
      <c r="AD402" s="1800"/>
      <c r="AE402" s="1800"/>
      <c r="AF402" s="1800"/>
      <c r="AG402" s="1800"/>
      <c r="AH402" s="1800"/>
      <c r="AI402" s="1800"/>
      <c r="AJ402" s="1800"/>
    </row>
    <row r="403" spans="1:36" ht="12.95" customHeight="1">
      <c r="D403" s="3" t="s">
        <v>1843</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1846</v>
      </c>
      <c r="E404" s="512"/>
      <c r="F404" s="512"/>
      <c r="G404" s="512"/>
      <c r="H404" s="512"/>
      <c r="I404" s="512"/>
      <c r="J404" s="512"/>
      <c r="K404" s="512"/>
      <c r="L404" s="512"/>
      <c r="M404" s="512"/>
      <c r="N404" s="512"/>
      <c r="O404" s="512"/>
      <c r="P404" s="512"/>
      <c r="Q404" s="512"/>
      <c r="R404" s="512"/>
      <c r="S404" s="1784" t="s">
        <v>1327</v>
      </c>
      <c r="T404" s="1784"/>
      <c r="U404" s="1784"/>
      <c r="V404" s="1784"/>
      <c r="W404" s="1784"/>
      <c r="X404" s="1784"/>
      <c r="Y404" s="1784"/>
      <c r="Z404" s="1784"/>
      <c r="AA404" s="1784"/>
      <c r="AB404" s="1784"/>
      <c r="AC404" s="1784"/>
      <c r="AD404" s="1784"/>
      <c r="AE404" s="1784"/>
      <c r="AF404" s="1784"/>
      <c r="AG404" s="1784"/>
      <c r="AH404" s="1784"/>
      <c r="AI404" s="1784"/>
      <c r="AJ404" s="1784"/>
    </row>
    <row r="405" spans="1:36" ht="12.95"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594" t="s">
        <v>2710</v>
      </c>
      <c r="J409" s="1594"/>
      <c r="K409" s="1594"/>
      <c r="L409" s="1594"/>
      <c r="M409" s="1594"/>
      <c r="N409" s="1594"/>
      <c r="O409" s="1594"/>
      <c r="P409" s="1594"/>
      <c r="Q409" s="1594"/>
      <c r="R409" s="1594"/>
      <c r="S409" s="1594"/>
      <c r="T409" s="1594"/>
      <c r="U409" s="1594"/>
      <c r="V409" s="1594"/>
      <c r="W409" s="1594"/>
      <c r="X409" s="1594"/>
      <c r="Y409" s="1594"/>
      <c r="Z409" s="1594"/>
      <c r="AA409" s="1594"/>
      <c r="AB409" s="1594"/>
      <c r="AC409" s="1594"/>
      <c r="AD409" s="1594"/>
      <c r="AE409" s="1594"/>
    </row>
    <row r="410" spans="1:36" ht="12.95" customHeight="1">
      <c r="E410" t="s">
        <v>107</v>
      </c>
      <c r="R410" s="1370" t="s">
        <v>554</v>
      </c>
      <c r="S410" s="1370"/>
      <c r="T410" t="s">
        <v>579</v>
      </c>
      <c r="AD410" s="1726">
        <v>4</v>
      </c>
      <c r="AE410" s="1726"/>
    </row>
    <row r="411" spans="1:36" ht="12.95" customHeight="1">
      <c r="E411" t="s">
        <v>108</v>
      </c>
      <c r="R411" s="1370" t="s">
        <v>600</v>
      </c>
      <c r="S411" s="1370"/>
      <c r="T411" t="s">
        <v>579</v>
      </c>
      <c r="AD411" s="1726">
        <v>0</v>
      </c>
      <c r="AE411" s="1726"/>
    </row>
    <row r="412" spans="1:36" ht="12.95" customHeight="1">
      <c r="E412" t="s">
        <v>109</v>
      </c>
      <c r="S412" s="1370" t="s">
        <v>600</v>
      </c>
      <c r="T412" s="1370"/>
    </row>
    <row r="413" spans="1:36" ht="12.95" customHeight="1">
      <c r="E413" t="s">
        <v>170</v>
      </c>
      <c r="H413" s="1657" t="s">
        <v>335</v>
      </c>
      <c r="I413" s="1657"/>
      <c r="J413" s="1657"/>
      <c r="K413" s="1657"/>
      <c r="L413" s="1657"/>
      <c r="M413" s="1657"/>
      <c r="N413" s="1657"/>
      <c r="O413" s="1657"/>
      <c r="P413" s="1657"/>
      <c r="Q413" s="1657"/>
      <c r="R413" s="1657"/>
      <c r="S413" s="1657"/>
      <c r="T413" s="1657"/>
      <c r="U413" s="1657"/>
      <c r="V413" s="1657"/>
      <c r="W413" s="1657"/>
      <c r="X413" s="1657"/>
      <c r="Y413" s="1657"/>
      <c r="Z413" s="1657"/>
      <c r="AA413" s="1657"/>
      <c r="AB413" s="1657"/>
      <c r="AC413" s="1657"/>
      <c r="AD413" s="1657"/>
      <c r="AE413" s="1657"/>
    </row>
    <row r="414" spans="1:36" ht="12.95" customHeight="1">
      <c r="H414" s="1658"/>
      <c r="I414" s="1658"/>
      <c r="J414" s="1658"/>
      <c r="K414" s="1658"/>
      <c r="L414" s="1658"/>
      <c r="M414" s="1658"/>
      <c r="N414" s="1658"/>
      <c r="O414" s="1658"/>
      <c r="P414" s="1658"/>
      <c r="Q414" s="1658"/>
      <c r="R414" s="1658"/>
      <c r="S414" s="1658"/>
      <c r="T414" s="1658"/>
      <c r="U414" s="1658"/>
      <c r="V414" s="1658"/>
      <c r="W414" s="1658"/>
      <c r="X414" s="1658"/>
      <c r="Y414" s="1658"/>
      <c r="Z414" s="1658"/>
      <c r="AA414" s="1658"/>
      <c r="AB414" s="1658"/>
      <c r="AC414" s="1658"/>
      <c r="AD414" s="1658"/>
      <c r="AE414" s="1658"/>
    </row>
    <row r="415" spans="1:36" ht="12.95" customHeight="1"/>
    <row r="416" spans="1:36" ht="12.95" customHeight="1">
      <c r="A416" s="2" t="s">
        <v>599</v>
      </c>
      <c r="B416" s="2"/>
      <c r="C416" s="2"/>
      <c r="D416" s="2" t="s">
        <v>115</v>
      </c>
      <c r="AF416" s="2" t="s">
        <v>997</v>
      </c>
    </row>
    <row r="417" spans="1:39" ht="12.95" customHeight="1">
      <c r="E417" s="1725"/>
      <c r="F417" s="1725"/>
      <c r="G417" s="1725"/>
      <c r="H417" s="13" t="s">
        <v>116</v>
      </c>
      <c r="I417" s="1725"/>
      <c r="J417" s="1725"/>
      <c r="K417" s="1725"/>
      <c r="L417" t="s">
        <v>117</v>
      </c>
      <c r="N417" s="27" t="s">
        <v>584</v>
      </c>
      <c r="P417" s="1731">
        <v>3.88</v>
      </c>
      <c r="Q417" s="1731"/>
      <c r="R417" s="1731"/>
      <c r="S417" t="s">
        <v>118</v>
      </c>
      <c r="W417" s="1834">
        <f>IF(E417&gt;0,(E417*I417),(P417*43560))</f>
        <v>169012.8</v>
      </c>
      <c r="X417" s="1834"/>
      <c r="Y417" s="1834"/>
      <c r="Z417" t="s">
        <v>119</v>
      </c>
      <c r="AF417" s="1779">
        <f>IF(P417&gt;0,(AG436/P417),(AG436/(W417/43560)))</f>
        <v>29.896907216494846</v>
      </c>
      <c r="AG417" s="1779"/>
      <c r="AH417" s="1779"/>
      <c r="AM417" s="3"/>
    </row>
    <row r="418" spans="1:39" ht="12.95" customHeight="1">
      <c r="E418" t="s">
        <v>51</v>
      </c>
    </row>
    <row r="419" spans="1:39" ht="12.95" customHeight="1">
      <c r="E419" s="1848"/>
      <c r="F419" s="1848"/>
      <c r="G419" s="1848"/>
      <c r="H419" s="1848"/>
      <c r="I419" s="1848"/>
      <c r="J419" s="1848"/>
      <c r="K419" s="1848"/>
      <c r="L419" s="1848"/>
      <c r="M419" s="1848"/>
      <c r="N419" s="1848"/>
      <c r="O419" s="1848"/>
      <c r="P419" s="1848"/>
      <c r="Q419" s="1848"/>
      <c r="R419" s="1848"/>
      <c r="S419" s="1848"/>
      <c r="T419" s="1848"/>
      <c r="U419" s="1848"/>
      <c r="V419" s="1848"/>
      <c r="W419" s="1848"/>
      <c r="X419" s="1848"/>
      <c r="Y419" s="1848"/>
      <c r="Z419" s="1848"/>
      <c r="AA419" s="1848"/>
      <c r="AB419" s="1848"/>
      <c r="AC419" s="1848"/>
      <c r="AD419" s="1848"/>
      <c r="AE419" s="1848"/>
      <c r="AF419" s="1848"/>
      <c r="AG419" s="1848"/>
      <c r="AH419" s="1848"/>
      <c r="AI419" s="1848"/>
      <c r="AJ419" s="1848"/>
    </row>
    <row r="420" spans="1:39" ht="12.95" customHeight="1">
      <c r="E420" s="118" t="s">
        <v>1996</v>
      </c>
      <c r="F420" s="1050"/>
      <c r="G420" s="1050"/>
      <c r="H420" s="1050"/>
      <c r="I420" s="1655">
        <v>3.88</v>
      </c>
      <c r="J420" s="1655"/>
      <c r="K420" s="1655"/>
      <c r="L420" s="1050"/>
      <c r="M420" s="118"/>
      <c r="N420" s="1050"/>
      <c r="O420" s="1050"/>
      <c r="P420" s="1608">
        <f>(CS623+CS631+CS647)/I420</f>
        <v>56.958762886597938</v>
      </c>
      <c r="Q420" s="1608"/>
      <c r="R420" s="1608"/>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0">
        <v>1</v>
      </c>
      <c r="Q423" s="1370"/>
      <c r="S423" t="s">
        <v>190</v>
      </c>
      <c r="AE423" s="1370">
        <v>1</v>
      </c>
      <c r="AF423" s="1370"/>
    </row>
    <row r="424" spans="1:39" ht="12.95" customHeight="1">
      <c r="E424" t="s">
        <v>191</v>
      </c>
      <c r="P424" s="1370"/>
      <c r="Q424" s="1370"/>
      <c r="S424" t="s">
        <v>132</v>
      </c>
      <c r="AE424" s="1370" t="s">
        <v>600</v>
      </c>
      <c r="AF424" s="1370"/>
    </row>
    <row r="425" spans="1:39" ht="12.95" customHeight="1">
      <c r="F425" s="28" t="s">
        <v>133</v>
      </c>
    </row>
    <row r="426" spans="1:39" ht="12.95" customHeight="1">
      <c r="F426" s="1767"/>
      <c r="G426" s="1767"/>
      <c r="H426" s="1767"/>
      <c r="I426" s="1767"/>
      <c r="J426" s="1767"/>
      <c r="K426" s="1767"/>
      <c r="L426" s="1767"/>
      <c r="M426" s="1767"/>
      <c r="N426" s="1767"/>
      <c r="O426" s="1767"/>
      <c r="P426" s="1767"/>
      <c r="Q426" s="1767"/>
      <c r="R426" s="1767"/>
      <c r="S426" s="1767"/>
      <c r="T426" s="1767"/>
      <c r="U426" s="1767"/>
      <c r="V426" s="1767"/>
      <c r="W426" s="1767"/>
      <c r="X426" s="1767"/>
      <c r="Y426" s="1767"/>
      <c r="Z426" s="1767"/>
      <c r="AA426" s="1767"/>
      <c r="AB426" s="1767"/>
      <c r="AC426" s="1767"/>
      <c r="AD426" s="1767"/>
      <c r="AE426" s="1767"/>
      <c r="AF426" s="1767"/>
      <c r="AG426" s="1767"/>
      <c r="AH426" s="1767"/>
    </row>
    <row r="427" spans="1:39" ht="12.95" customHeight="1">
      <c r="F427" s="1592"/>
      <c r="G427" s="1592"/>
      <c r="H427" s="1592"/>
      <c r="I427" s="1592"/>
      <c r="J427" s="1592"/>
      <c r="K427" s="1592"/>
      <c r="L427" s="1592"/>
      <c r="M427" s="1592"/>
      <c r="N427" s="1592"/>
      <c r="O427" s="1592"/>
      <c r="P427" s="1592"/>
      <c r="Q427" s="1592"/>
      <c r="R427" s="1592"/>
      <c r="S427" s="1592"/>
      <c r="T427" s="1592"/>
      <c r="U427" s="1592"/>
      <c r="V427" s="1592"/>
      <c r="W427" s="1592"/>
      <c r="X427" s="1592"/>
      <c r="Y427" s="1592"/>
      <c r="Z427" s="1592"/>
      <c r="AA427" s="1592"/>
      <c r="AB427" s="1592"/>
      <c r="AC427" s="1592"/>
      <c r="AD427" s="1592"/>
      <c r="AE427" s="1592"/>
      <c r="AF427" s="1592"/>
      <c r="AG427" s="1592"/>
      <c r="AH427" s="1592"/>
    </row>
    <row r="428" spans="1:39" ht="12.95" customHeight="1">
      <c r="E428" t="s">
        <v>617</v>
      </c>
      <c r="P428" s="1"/>
      <c r="Q428" s="1370" t="s">
        <v>678</v>
      </c>
      <c r="R428" s="1370"/>
    </row>
    <row r="429" spans="1:39" ht="12.95" customHeight="1">
      <c r="F429" t="s">
        <v>618</v>
      </c>
      <c r="P429" s="1"/>
      <c r="Q429" s="1"/>
      <c r="AF429" s="1370" t="s">
        <v>600</v>
      </c>
      <c r="AG429" s="1785"/>
    </row>
    <row r="430" spans="1:39" ht="12.95" customHeight="1"/>
    <row r="431" spans="1:39" ht="12.95" customHeight="1">
      <c r="A431" s="2"/>
      <c r="B431" s="2"/>
      <c r="C431" s="2"/>
      <c r="E431" s="4" t="s">
        <v>309</v>
      </c>
      <c r="Z431" s="1370" t="s">
        <v>678</v>
      </c>
      <c r="AA431" s="1370"/>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0" t="s">
        <v>600</v>
      </c>
      <c r="AA433" s="1370"/>
    </row>
    <row r="434" spans="1:110" ht="12.95" customHeight="1"/>
    <row r="435" spans="1:110" ht="12.95" customHeight="1">
      <c r="A435" s="2" t="s">
        <v>476</v>
      </c>
      <c r="B435" s="2"/>
      <c r="C435" s="2"/>
      <c r="D435" s="2" t="s">
        <v>788</v>
      </c>
      <c r="AF435" s="48"/>
    </row>
    <row r="436" spans="1:110" ht="12.95" customHeight="1">
      <c r="D436" s="1634" t="s">
        <v>43</v>
      </c>
      <c r="E436" s="1581"/>
      <c r="F436" s="1581"/>
      <c r="G436" s="1581"/>
      <c r="H436" s="1581"/>
      <c r="I436" s="1581"/>
      <c r="J436" s="1581"/>
      <c r="K436" s="1581"/>
      <c r="L436" s="1581"/>
      <c r="M436" s="1581"/>
      <c r="N436" s="1581"/>
      <c r="O436" s="1581"/>
      <c r="P436" s="1581"/>
      <c r="Q436" s="1581"/>
      <c r="R436" s="1581"/>
      <c r="S436" s="1581"/>
      <c r="T436" s="1581"/>
      <c r="U436" s="1581"/>
      <c r="V436" s="1581"/>
      <c r="W436" s="1581"/>
      <c r="X436" s="1581"/>
      <c r="Y436" s="1581"/>
      <c r="Z436" s="1581"/>
      <c r="AA436" s="1581"/>
      <c r="AB436" s="1581"/>
      <c r="AC436" s="1581"/>
      <c r="AD436" s="1581"/>
      <c r="AE436" s="1581"/>
      <c r="AF436" s="1813"/>
      <c r="AG436" s="1806">
        <v>116</v>
      </c>
      <c r="AH436" s="1806"/>
      <c r="AI436" s="1806"/>
      <c r="AJ436" s="1806"/>
    </row>
    <row r="437" spans="1:110" ht="12.95" customHeight="1">
      <c r="D437" s="1651" t="s">
        <v>1369</v>
      </c>
      <c r="E437" s="1652"/>
      <c r="F437" s="1652"/>
      <c r="G437" s="1652"/>
      <c r="H437" s="1652"/>
      <c r="I437" s="1652"/>
      <c r="J437" s="1652"/>
      <c r="K437" s="1652"/>
      <c r="L437" s="1652"/>
      <c r="M437" s="1652"/>
      <c r="N437" s="1652"/>
      <c r="O437" s="1652"/>
      <c r="P437" s="1652"/>
      <c r="Q437" s="1652"/>
      <c r="R437" s="1652"/>
      <c r="S437" s="1652"/>
      <c r="T437" s="1652"/>
      <c r="U437" s="1652"/>
      <c r="V437" s="1652"/>
      <c r="W437" s="1652"/>
      <c r="X437" s="1652"/>
      <c r="Y437" s="1652"/>
      <c r="Z437" s="1652"/>
      <c r="AA437" s="1652"/>
      <c r="AB437" s="1652"/>
      <c r="AC437" s="1652"/>
      <c r="AD437" s="1652"/>
      <c r="AE437" s="1652"/>
      <c r="AF437" s="1653"/>
      <c r="AG437" s="1835"/>
      <c r="AH437" s="1619"/>
      <c r="AI437" s="1619"/>
      <c r="AJ437" s="1619"/>
    </row>
    <row r="438" spans="1:110" ht="12.95" customHeight="1">
      <c r="D438" s="1651" t="s">
        <v>1092</v>
      </c>
      <c r="E438" s="1652"/>
      <c r="F438" s="1652"/>
      <c r="G438" s="1652"/>
      <c r="H438" s="1652"/>
      <c r="I438" s="1652"/>
      <c r="J438" s="1652"/>
      <c r="K438" s="1652"/>
      <c r="L438" s="1652"/>
      <c r="M438" s="1652"/>
      <c r="N438" s="1652"/>
      <c r="O438" s="1652"/>
      <c r="P438" s="1652"/>
      <c r="Q438" s="1652"/>
      <c r="R438" s="1652"/>
      <c r="S438" s="1652"/>
      <c r="T438" s="1652"/>
      <c r="U438" s="1652"/>
      <c r="V438" s="1652"/>
      <c r="W438" s="1652"/>
      <c r="X438" s="1652"/>
      <c r="Y438" s="1652"/>
      <c r="Z438" s="1652"/>
      <c r="AA438" s="1652"/>
      <c r="AB438" s="1652"/>
      <c r="AC438" s="1652"/>
      <c r="AD438" s="1652"/>
      <c r="AE438" s="1652"/>
      <c r="AF438" s="1653"/>
      <c r="AG438" s="1806">
        <v>115</v>
      </c>
      <c r="AH438" s="1806"/>
      <c r="AI438" s="1806"/>
      <c r="AJ438" s="1806"/>
    </row>
    <row r="439" spans="1:110" ht="12.95" customHeight="1">
      <c r="D439" s="1651" t="s">
        <v>1093</v>
      </c>
      <c r="E439" s="1652"/>
      <c r="F439" s="1652"/>
      <c r="G439" s="1652"/>
      <c r="H439" s="1652"/>
      <c r="I439" s="1652"/>
      <c r="J439" s="1652"/>
      <c r="K439" s="1652"/>
      <c r="L439" s="1652"/>
      <c r="M439" s="1652"/>
      <c r="N439" s="1652"/>
      <c r="O439" s="1652"/>
      <c r="P439" s="1652"/>
      <c r="Q439" s="1652"/>
      <c r="R439" s="1652"/>
      <c r="S439" s="1652"/>
      <c r="T439" s="1652"/>
      <c r="U439" s="1652"/>
      <c r="V439" s="1652"/>
      <c r="W439" s="1652"/>
      <c r="X439" s="1652"/>
      <c r="Y439" s="1652"/>
      <c r="Z439" s="1652"/>
      <c r="AA439" s="1652"/>
      <c r="AB439" s="1652"/>
      <c r="AC439" s="1652"/>
      <c r="AD439" s="1652"/>
      <c r="AE439" s="1652"/>
      <c r="AF439" s="1653"/>
      <c r="AG439" s="1806">
        <v>115</v>
      </c>
      <c r="AH439" s="1806"/>
      <c r="AI439" s="1806"/>
      <c r="AJ439" s="1806"/>
    </row>
    <row r="440" spans="1:110" ht="12.95" customHeight="1">
      <c r="D440" s="1651" t="s">
        <v>1095</v>
      </c>
      <c r="E440" s="1652"/>
      <c r="F440" s="1652"/>
      <c r="G440" s="1652"/>
      <c r="H440" s="1652"/>
      <c r="I440" s="1652"/>
      <c r="J440" s="1652"/>
      <c r="K440" s="1652"/>
      <c r="L440" s="1652"/>
      <c r="M440" s="1652"/>
      <c r="N440" s="1652"/>
      <c r="O440" s="1652"/>
      <c r="P440" s="1652"/>
      <c r="Q440" s="1652"/>
      <c r="R440" s="1652"/>
      <c r="S440" s="1652"/>
      <c r="T440" s="1652"/>
      <c r="U440" s="1652"/>
      <c r="V440" s="1652"/>
      <c r="W440" s="1652"/>
      <c r="X440" s="1652"/>
      <c r="Y440" s="1652"/>
      <c r="Z440" s="1652"/>
      <c r="AA440" s="1652"/>
      <c r="AB440" s="1652"/>
      <c r="AC440" s="1652"/>
      <c r="AD440" s="1652"/>
      <c r="AE440" s="1652"/>
      <c r="AF440" s="1653"/>
      <c r="AG440" s="1818">
        <f>IF(ISERROR(AG439/AG438),"",AG439/AG438)</f>
        <v>1</v>
      </c>
      <c r="AH440" s="1818"/>
      <c r="AI440" s="1818"/>
      <c r="AJ440" s="1818"/>
    </row>
    <row r="441" spans="1:110" ht="12.95" customHeight="1">
      <c r="D441" s="1651" t="s">
        <v>1094</v>
      </c>
      <c r="E441" s="1652"/>
      <c r="F441" s="1652"/>
      <c r="G441" s="1652"/>
      <c r="H441" s="1652"/>
      <c r="I441" s="1652"/>
      <c r="J441" s="1652"/>
      <c r="K441" s="1652"/>
      <c r="L441" s="1652"/>
      <c r="M441" s="1652"/>
      <c r="N441" s="1652"/>
      <c r="O441" s="1652"/>
      <c r="P441" s="1652"/>
      <c r="Q441" s="1652"/>
      <c r="R441" s="1652"/>
      <c r="S441" s="1652"/>
      <c r="T441" s="1652"/>
      <c r="U441" s="1652"/>
      <c r="V441" s="1652"/>
      <c r="W441" s="1652"/>
      <c r="X441" s="1652"/>
      <c r="Y441" s="1652"/>
      <c r="Z441" s="1652"/>
      <c r="AA441" s="1652"/>
      <c r="AB441" s="1652"/>
      <c r="AC441" s="1652"/>
      <c r="AD441" s="1652"/>
      <c r="AE441" s="1652"/>
      <c r="AF441" s="1653"/>
      <c r="AG441" s="1808">
        <v>91559</v>
      </c>
      <c r="AH441" s="1808"/>
      <c r="AI441" s="1808"/>
      <c r="AJ441" s="1808"/>
    </row>
    <row r="442" spans="1:110" ht="12.95" customHeight="1">
      <c r="D442" s="1651" t="s">
        <v>1096</v>
      </c>
      <c r="E442" s="1652"/>
      <c r="F442" s="1652"/>
      <c r="G442" s="1652"/>
      <c r="H442" s="1652"/>
      <c r="I442" s="1652"/>
      <c r="J442" s="1652"/>
      <c r="K442" s="1652"/>
      <c r="L442" s="1652"/>
      <c r="M442" s="1652"/>
      <c r="N442" s="1652"/>
      <c r="O442" s="1652"/>
      <c r="P442" s="1652"/>
      <c r="Q442" s="1652"/>
      <c r="R442" s="1652"/>
      <c r="S442" s="1652"/>
      <c r="T442" s="1652"/>
      <c r="U442" s="1652"/>
      <c r="V442" s="1652"/>
      <c r="W442" s="1652"/>
      <c r="X442" s="1652"/>
      <c r="Y442" s="1652"/>
      <c r="Z442" s="1652"/>
      <c r="AA442" s="1652"/>
      <c r="AB442" s="1652"/>
      <c r="AC442" s="1652"/>
      <c r="AD442" s="1652"/>
      <c r="AE442" s="1652"/>
      <c r="AF442" s="1653"/>
      <c r="AG442" s="1808">
        <v>91559</v>
      </c>
      <c r="AH442" s="1808"/>
      <c r="AI442" s="1808"/>
      <c r="AJ442" s="1808"/>
    </row>
    <row r="443" spans="1:110" ht="12.95" customHeight="1">
      <c r="D443" s="1651" t="s">
        <v>1097</v>
      </c>
      <c r="E443" s="1652"/>
      <c r="F443" s="1652"/>
      <c r="G443" s="1652"/>
      <c r="H443" s="1652"/>
      <c r="I443" s="1652"/>
      <c r="J443" s="1652"/>
      <c r="K443" s="1652"/>
      <c r="L443" s="1652"/>
      <c r="M443" s="1652"/>
      <c r="N443" s="1652"/>
      <c r="O443" s="1652"/>
      <c r="P443" s="1652"/>
      <c r="Q443" s="1652"/>
      <c r="R443" s="1652"/>
      <c r="S443" s="1652"/>
      <c r="T443" s="1652"/>
      <c r="U443" s="1652"/>
      <c r="V443" s="1652"/>
      <c r="W443" s="1652"/>
      <c r="X443" s="1652"/>
      <c r="Y443" s="1652"/>
      <c r="Z443" s="1652"/>
      <c r="AA443" s="1652"/>
      <c r="AB443" s="1652"/>
      <c r="AC443" s="1652"/>
      <c r="AD443" s="1652"/>
      <c r="AE443" s="1652"/>
      <c r="AF443" s="1653"/>
      <c r="AG443" s="1818">
        <f>IF(ISERROR(AG442/AG441),"",AG442/AG441)</f>
        <v>1</v>
      </c>
      <c r="AH443" s="1818"/>
      <c r="AI443" s="1818"/>
      <c r="AJ443" s="1818"/>
    </row>
    <row r="444" spans="1:110" ht="12.95" customHeight="1">
      <c r="D444" s="1651" t="s">
        <v>1098</v>
      </c>
      <c r="E444" s="1652"/>
      <c r="F444" s="1652"/>
      <c r="G444" s="1652"/>
      <c r="H444" s="1652"/>
      <c r="I444" s="1652"/>
      <c r="J444" s="1652"/>
      <c r="K444" s="1652"/>
      <c r="L444" s="1652"/>
      <c r="M444" s="1652"/>
      <c r="N444" s="1652"/>
      <c r="O444" s="1652"/>
      <c r="P444" s="1652"/>
      <c r="Q444" s="1652"/>
      <c r="R444" s="1652"/>
      <c r="S444" s="1652"/>
      <c r="T444" s="1652"/>
      <c r="U444" s="1652"/>
      <c r="V444" s="1652"/>
      <c r="W444" s="1652"/>
      <c r="X444" s="1652"/>
      <c r="Y444" s="1652"/>
      <c r="Z444" s="1652"/>
      <c r="AA444" s="1652"/>
      <c r="AB444" s="1652"/>
      <c r="AC444" s="1652"/>
      <c r="AD444" s="1652"/>
      <c r="AE444" s="1652"/>
      <c r="AF444" s="1653"/>
      <c r="AG444" s="1818">
        <f>MIN(IF(AG440&gt;AG443,AG443,AG440),1)</f>
        <v>1</v>
      </c>
      <c r="AH444" s="1818"/>
      <c r="AI444" s="1818"/>
      <c r="AJ444" s="1818"/>
    </row>
    <row r="445" spans="1:110" ht="12.95" customHeight="1">
      <c r="D445" s="1651" t="s">
        <v>2510</v>
      </c>
      <c r="E445" s="1581"/>
      <c r="F445" s="1581"/>
      <c r="G445" s="1581"/>
      <c r="H445" s="1581"/>
      <c r="I445" s="1581"/>
      <c r="J445" s="1581"/>
      <c r="K445" s="1581"/>
      <c r="L445" s="1581"/>
      <c r="M445" s="1581"/>
      <c r="N445" s="1581"/>
      <c r="O445" s="1581"/>
      <c r="P445" s="1581"/>
      <c r="Q445" s="1581"/>
      <c r="R445" s="1581"/>
      <c r="S445" s="1581"/>
      <c r="T445" s="1581"/>
      <c r="U445" s="1581"/>
      <c r="V445" s="1581"/>
      <c r="W445" s="1581"/>
      <c r="X445" s="1581"/>
      <c r="Y445" s="1581"/>
      <c r="Z445" s="1581"/>
      <c r="AA445" s="1581"/>
      <c r="AB445" s="1581"/>
      <c r="AC445" s="1581"/>
      <c r="AD445" s="1581"/>
      <c r="AE445" s="1581"/>
      <c r="AF445" s="1813"/>
      <c r="AG445" s="1808">
        <v>2492</v>
      </c>
      <c r="AH445" s="1808"/>
      <c r="AI445" s="1808"/>
      <c r="AJ445" s="1808"/>
    </row>
    <row r="446" spans="1:110" ht="12.95" customHeight="1">
      <c r="D446" s="1634" t="s">
        <v>578</v>
      </c>
      <c r="E446" s="1581"/>
      <c r="F446" s="1581"/>
      <c r="G446" s="1581"/>
      <c r="H446" s="1581"/>
      <c r="I446" s="1581"/>
      <c r="J446" s="1581"/>
      <c r="K446" s="1581"/>
      <c r="L446" s="1581"/>
      <c r="M446" s="1581"/>
      <c r="N446" s="1581"/>
      <c r="O446" s="1581"/>
      <c r="P446" s="1581"/>
      <c r="Q446" s="1581"/>
      <c r="R446" s="1581"/>
      <c r="S446" s="1581"/>
      <c r="T446" s="1581"/>
      <c r="U446" s="1581"/>
      <c r="V446" s="1581"/>
      <c r="W446" s="1581"/>
      <c r="X446" s="1581"/>
      <c r="Y446" s="1581"/>
      <c r="Z446" s="1581"/>
      <c r="AA446" s="1581"/>
      <c r="AB446" s="1581"/>
      <c r="AC446" s="1581"/>
      <c r="AD446" s="1581"/>
      <c r="AE446" s="1581"/>
      <c r="AF446" s="1813"/>
      <c r="AG446" s="1808">
        <v>0</v>
      </c>
      <c r="AH446" s="1808"/>
      <c r="AI446" s="1808"/>
      <c r="AJ446" s="180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1" t="s">
        <v>1348</v>
      </c>
      <c r="E447" s="1581"/>
      <c r="F447" s="1581"/>
      <c r="G447" s="1581"/>
      <c r="H447" s="1581"/>
      <c r="I447" s="1581"/>
      <c r="J447" s="1581"/>
      <c r="K447" s="1581"/>
      <c r="L447" s="1581"/>
      <c r="M447" s="1581"/>
      <c r="N447" s="1581"/>
      <c r="O447" s="1581"/>
      <c r="P447" s="1581"/>
      <c r="Q447" s="1581"/>
      <c r="R447" s="1581"/>
      <c r="S447" s="1581"/>
      <c r="T447" s="1581"/>
      <c r="U447" s="1581"/>
      <c r="V447" s="1581"/>
      <c r="W447" s="1581"/>
      <c r="X447" s="1581"/>
      <c r="Y447" s="1581"/>
      <c r="Z447" s="1581"/>
      <c r="AA447" s="1581"/>
      <c r="AB447" s="1581"/>
      <c r="AC447" s="1581"/>
      <c r="AD447" s="1581"/>
      <c r="AE447" s="1581"/>
      <c r="AF447" s="1813"/>
      <c r="AG447" s="1808">
        <v>21336</v>
      </c>
      <c r="AH447" s="1808"/>
      <c r="AI447" s="1808"/>
      <c r="AJ447" s="180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1" t="s">
        <v>1099</v>
      </c>
      <c r="E448" s="1581"/>
      <c r="F448" s="1581"/>
      <c r="G448" s="1581"/>
      <c r="H448" s="1581"/>
      <c r="I448" s="1581"/>
      <c r="J448" s="1581"/>
      <c r="K448" s="1581"/>
      <c r="L448" s="1581"/>
      <c r="M448" s="1581"/>
      <c r="N448" s="1581"/>
      <c r="O448" s="1581"/>
      <c r="P448" s="1581"/>
      <c r="Q448" s="1581"/>
      <c r="R448" s="1581"/>
      <c r="S448" s="1581"/>
      <c r="T448" s="1581"/>
      <c r="U448" s="1581"/>
      <c r="V448" s="1581"/>
      <c r="W448" s="1581"/>
      <c r="X448" s="1581"/>
      <c r="Y448" s="1581"/>
      <c r="Z448" s="1581"/>
      <c r="AA448" s="1581"/>
      <c r="AB448" s="1581"/>
      <c r="AC448" s="1581"/>
      <c r="AD448" s="1581"/>
      <c r="AE448" s="1581"/>
      <c r="AF448" s="1813"/>
      <c r="AG448" s="1808">
        <v>0</v>
      </c>
      <c r="AH448" s="1808"/>
      <c r="AI448" s="1808"/>
      <c r="AJ448" s="180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43" t="s">
        <v>1100</v>
      </c>
      <c r="E449" s="1844"/>
      <c r="F449" s="1844"/>
      <c r="G449" s="1844"/>
      <c r="H449" s="1844"/>
      <c r="I449" s="1844"/>
      <c r="J449" s="1844"/>
      <c r="K449" s="1844"/>
      <c r="L449" s="1844"/>
      <c r="M449" s="1844"/>
      <c r="N449" s="1844"/>
      <c r="O449" s="1844"/>
      <c r="P449" s="1844"/>
      <c r="Q449" s="1844"/>
      <c r="R449" s="1844"/>
      <c r="S449" s="1844"/>
      <c r="T449" s="1844"/>
      <c r="U449" s="1844"/>
      <c r="V449" s="1844"/>
      <c r="W449" s="1844"/>
      <c r="X449" s="1844"/>
      <c r="Y449" s="1844"/>
      <c r="Z449" s="1844"/>
      <c r="AA449" s="1844"/>
      <c r="AB449" s="1844"/>
      <c r="AC449" s="1844"/>
      <c r="AD449" s="1844"/>
      <c r="AE449" s="1844"/>
      <c r="AF449" s="1845"/>
      <c r="AG449" s="1807">
        <f>AG441+AG445+AG447+AG448</f>
        <v>115387</v>
      </c>
      <c r="AH449" s="1807"/>
      <c r="AI449" s="1807"/>
      <c r="AJ449" s="18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46" t="s">
        <v>1349</v>
      </c>
      <c r="E450" s="1846"/>
      <c r="F450" s="1846"/>
      <c r="G450" s="1846"/>
      <c r="H450" s="1846"/>
      <c r="I450" s="1846"/>
      <c r="J450" s="1846"/>
      <c r="K450" s="1846"/>
      <c r="L450" s="1846"/>
      <c r="M450" s="1846"/>
      <c r="N450" s="1846"/>
      <c r="O450" s="1846"/>
      <c r="P450" s="1846"/>
      <c r="Q450" s="1846"/>
      <c r="R450" s="1846"/>
      <c r="S450" s="1846"/>
      <c r="T450" s="1846"/>
      <c r="U450" s="1846"/>
      <c r="V450" s="1846"/>
      <c r="W450" s="1846"/>
      <c r="X450" s="1846"/>
      <c r="Y450" s="1846"/>
      <c r="Z450" s="1846"/>
      <c r="AA450" s="1846"/>
      <c r="AB450" s="1846"/>
      <c r="AC450" s="1846"/>
      <c r="AD450" s="1846"/>
      <c r="AE450" s="1846"/>
      <c r="AF450" s="1846"/>
      <c r="AG450" s="1846"/>
      <c r="AH450" s="1846"/>
      <c r="AI450" s="1846"/>
      <c r="AJ450" s="18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47"/>
      <c r="E451" s="1847"/>
      <c r="F451" s="1847"/>
      <c r="G451" s="1847"/>
      <c r="H451" s="1847"/>
      <c r="I451" s="1847"/>
      <c r="J451" s="1847"/>
      <c r="K451" s="1847"/>
      <c r="L451" s="1847"/>
      <c r="M451" s="1847"/>
      <c r="N451" s="1847"/>
      <c r="O451" s="1847"/>
      <c r="P451" s="1847"/>
      <c r="Q451" s="1847"/>
      <c r="R451" s="1847"/>
      <c r="S451" s="1847"/>
      <c r="T451" s="1847"/>
      <c r="U451" s="1847"/>
      <c r="V451" s="1847"/>
      <c r="W451" s="1847"/>
      <c r="X451" s="1847"/>
      <c r="Y451" s="1847"/>
      <c r="Z451" s="1847"/>
      <c r="AA451" s="1847"/>
      <c r="AB451" s="1847"/>
      <c r="AC451" s="1847"/>
      <c r="AD451" s="1847"/>
      <c r="AE451" s="1847"/>
      <c r="AF451" s="1847"/>
      <c r="AG451" s="1847"/>
      <c r="AH451" s="1847"/>
      <c r="AI451" s="1847"/>
      <c r="AJ451" s="184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80">
        <f>'Sources and Uses Budget'!B105/Application!AG436</f>
        <v>409920.99137931032</v>
      </c>
      <c r="AD453" s="1780"/>
      <c r="AE453" s="1780"/>
      <c r="AF453" s="178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0">
        <f>'Sources and Uses Budget'!C105/Application!AG436</f>
        <v>409920.99137931032</v>
      </c>
      <c r="AD454" s="1780"/>
      <c r="AE454" s="1780"/>
      <c r="AF454" s="178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0">
        <f>('Sources and Uses Budget'!$S$107+'Sources and Uses Budget'!$T$107)/Application!AG436</f>
        <v>377554.36206896551</v>
      </c>
      <c r="AD455" s="1780"/>
      <c r="AE455" s="1780"/>
      <c r="AF455" s="178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49" t="str">
        <f>IFERROR(IF(AC453&gt;650000,"Please provide a justification of cost per unit in Tab 12 for all projects with per unit costs of greater than $650,000.",""),"")</f>
        <v/>
      </c>
      <c r="G456" s="1849"/>
      <c r="H456" s="1849"/>
      <c r="I456" s="1849"/>
      <c r="J456" s="1849"/>
      <c r="K456" s="1849"/>
      <c r="L456" s="1849"/>
      <c r="M456" s="1849"/>
      <c r="N456" s="1849"/>
      <c r="O456" s="1849"/>
      <c r="P456" s="1849"/>
      <c r="Q456" s="1849"/>
      <c r="R456" s="1849"/>
      <c r="S456" s="1849"/>
      <c r="T456" s="1849"/>
      <c r="U456" s="1849"/>
      <c r="V456" s="1849"/>
      <c r="W456" s="1849"/>
      <c r="X456" s="1849"/>
      <c r="Y456" s="1849"/>
      <c r="Z456" s="1849"/>
      <c r="AA456" s="1849"/>
      <c r="AB456" s="184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49"/>
      <c r="G457" s="1849"/>
      <c r="H457" s="1849"/>
      <c r="I457" s="1849"/>
      <c r="J457" s="1849"/>
      <c r="K457" s="1849"/>
      <c r="L457" s="1849"/>
      <c r="M457" s="1849"/>
      <c r="N457" s="1849"/>
      <c r="O457" s="1849"/>
      <c r="P457" s="1849"/>
      <c r="Q457" s="1849"/>
      <c r="R457" s="1849"/>
      <c r="S457" s="1849"/>
      <c r="T457" s="1849"/>
      <c r="U457" s="1849"/>
      <c r="V457" s="1849"/>
      <c r="W457" s="1849"/>
      <c r="X457" s="1849"/>
      <c r="Y457" s="1849"/>
      <c r="Z457" s="1849"/>
      <c r="AA457" s="1849"/>
      <c r="AB457" s="184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05" t="s">
        <v>2526</v>
      </c>
      <c r="E464" s="1782"/>
      <c r="F464" s="1782"/>
      <c r="G464" s="1782"/>
      <c r="H464" s="1782"/>
      <c r="I464" s="1782"/>
      <c r="J464" s="1782"/>
      <c r="K464" s="1782"/>
      <c r="L464" s="1782"/>
      <c r="M464" s="1782"/>
      <c r="N464" s="1782"/>
      <c r="O464" s="1782"/>
      <c r="P464" s="1782"/>
      <c r="Q464" s="1782"/>
      <c r="R464" s="1782"/>
      <c r="S464" s="1782"/>
      <c r="T464" s="1782"/>
      <c r="U464" s="1782"/>
      <c r="V464" s="1783"/>
      <c r="W464" s="1647">
        <v>0</v>
      </c>
      <c r="X464" s="1648"/>
      <c r="Y464" s="1649"/>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1" t="s">
        <v>703</v>
      </c>
      <c r="E465" s="1782"/>
      <c r="F465" s="1782"/>
      <c r="G465" s="1782"/>
      <c r="H465" s="1782"/>
      <c r="I465" s="1782"/>
      <c r="J465" s="1782"/>
      <c r="K465" s="1782"/>
      <c r="L465" s="1782"/>
      <c r="M465" s="1782"/>
      <c r="N465" s="1782"/>
      <c r="O465" s="1782"/>
      <c r="P465" s="1782"/>
      <c r="Q465" s="1782"/>
      <c r="R465" s="1782"/>
      <c r="S465" s="1782"/>
      <c r="T465" s="1782"/>
      <c r="U465" s="1782"/>
      <c r="V465" s="1783"/>
      <c r="W465" s="1647">
        <v>0</v>
      </c>
      <c r="X465" s="1648"/>
      <c r="Y465" s="1649"/>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1" t="s">
        <v>704</v>
      </c>
      <c r="E466" s="1782"/>
      <c r="F466" s="1782"/>
      <c r="G466" s="1782"/>
      <c r="H466" s="1782"/>
      <c r="I466" s="1782"/>
      <c r="J466" s="1782"/>
      <c r="K466" s="1782"/>
      <c r="L466" s="1782"/>
      <c r="M466" s="1782"/>
      <c r="N466" s="1782"/>
      <c r="O466" s="1782"/>
      <c r="P466" s="1782"/>
      <c r="Q466" s="1782"/>
      <c r="R466" s="1782"/>
      <c r="S466" s="1782"/>
      <c r="T466" s="1782"/>
      <c r="U466" s="1782"/>
      <c r="V466" s="1783"/>
      <c r="W466" s="1647">
        <v>0</v>
      </c>
      <c r="X466" s="1648"/>
      <c r="Y466" s="164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1" t="s">
        <v>705</v>
      </c>
      <c r="E467" s="1782"/>
      <c r="F467" s="1782"/>
      <c r="G467" s="1782"/>
      <c r="H467" s="1782"/>
      <c r="I467" s="1782"/>
      <c r="J467" s="1782"/>
      <c r="K467" s="1782"/>
      <c r="L467" s="1782"/>
      <c r="M467" s="1782"/>
      <c r="N467" s="1782"/>
      <c r="O467" s="1782"/>
      <c r="P467" s="1782"/>
      <c r="Q467" s="1782"/>
      <c r="R467" s="1782"/>
      <c r="S467" s="1782"/>
      <c r="T467" s="1782"/>
      <c r="U467" s="1782"/>
      <c r="V467" s="1783"/>
      <c r="W467" s="1647">
        <v>0</v>
      </c>
      <c r="X467" s="1648"/>
      <c r="Y467" s="164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1" t="s">
        <v>910</v>
      </c>
      <c r="E468" s="1782"/>
      <c r="F468" s="1782"/>
      <c r="G468" s="1782"/>
      <c r="H468" s="1782"/>
      <c r="I468" s="1782"/>
      <c r="J468" s="1782"/>
      <c r="K468" s="1782"/>
      <c r="L468" s="1782"/>
      <c r="M468" s="1782"/>
      <c r="N468" s="1782"/>
      <c r="O468" s="1782"/>
      <c r="P468" s="1782"/>
      <c r="Q468" s="1782"/>
      <c r="R468" s="1782"/>
      <c r="S468" s="1782"/>
      <c r="T468" s="1782"/>
      <c r="U468" s="1782"/>
      <c r="V468" s="1783"/>
      <c r="W468" s="1647">
        <v>0</v>
      </c>
      <c r="X468" s="1648"/>
      <c r="Y468" s="164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1" t="s">
        <v>706</v>
      </c>
      <c r="E469" s="1782"/>
      <c r="F469" s="1782"/>
      <c r="G469" s="1782"/>
      <c r="H469" s="1782"/>
      <c r="I469" s="1782"/>
      <c r="J469" s="1782"/>
      <c r="K469" s="1782"/>
      <c r="L469" s="1782"/>
      <c r="M469" s="1782"/>
      <c r="N469" s="1782"/>
      <c r="O469" s="1782"/>
      <c r="P469" s="1782"/>
      <c r="Q469" s="1782"/>
      <c r="R469" s="1782"/>
      <c r="S469" s="1782"/>
      <c r="T469" s="1782"/>
      <c r="U469" s="1782"/>
      <c r="V469" s="1783"/>
      <c r="W469" s="1647">
        <v>0</v>
      </c>
      <c r="X469" s="1648"/>
      <c r="Y469" s="1649"/>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1" t="s">
        <v>1069</v>
      </c>
      <c r="E470" s="1782"/>
      <c r="F470" s="1782"/>
      <c r="G470" s="1782"/>
      <c r="H470" s="1782"/>
      <c r="I470" s="1782"/>
      <c r="J470" s="1782"/>
      <c r="K470" s="1782"/>
      <c r="L470" s="1782"/>
      <c r="M470" s="1782"/>
      <c r="N470" s="1782"/>
      <c r="O470" s="1782"/>
      <c r="P470" s="1782"/>
      <c r="Q470" s="1782"/>
      <c r="R470" s="1782"/>
      <c r="S470" s="1782"/>
      <c r="T470" s="1782"/>
      <c r="U470" s="1782"/>
      <c r="V470" s="1783"/>
      <c r="W470" s="1647">
        <v>0</v>
      </c>
      <c r="X470" s="1648"/>
      <c r="Y470" s="1649"/>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05" t="s">
        <v>1834</v>
      </c>
      <c r="E471" s="1782"/>
      <c r="F471" s="1782"/>
      <c r="G471" s="1782"/>
      <c r="H471" s="1782"/>
      <c r="I471" s="1782"/>
      <c r="J471" s="1782"/>
      <c r="K471" s="1782"/>
      <c r="L471" s="1782"/>
      <c r="M471" s="1782"/>
      <c r="N471" s="1782"/>
      <c r="O471" s="1782"/>
      <c r="P471" s="1782"/>
      <c r="Q471" s="1782"/>
      <c r="R471" s="1782"/>
      <c r="S471" s="1782"/>
      <c r="T471" s="1782"/>
      <c r="U471" s="1782"/>
      <c r="V471" s="1783"/>
      <c r="W471" s="1647">
        <v>18</v>
      </c>
      <c r="X471" s="1648"/>
      <c r="Y471" s="164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802"/>
      <c r="H472" s="1803"/>
      <c r="I472" s="1803"/>
      <c r="J472" s="1803"/>
      <c r="K472" s="1803"/>
      <c r="L472" s="1803"/>
      <c r="M472" s="1803"/>
      <c r="N472" s="1803"/>
      <c r="O472" s="1803"/>
      <c r="P472" s="1803"/>
      <c r="Q472" s="1803"/>
      <c r="R472" s="1803"/>
      <c r="S472" s="1803"/>
      <c r="T472" s="1803"/>
      <c r="U472" s="1803"/>
      <c r="V472" s="1804"/>
      <c r="W472" s="1647">
        <v>0</v>
      </c>
      <c r="X472" s="1648"/>
      <c r="Y472" s="164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36" t="s">
        <v>835</v>
      </c>
      <c r="B478" s="1636"/>
      <c r="C478" s="1636"/>
      <c r="D478" s="1636"/>
      <c r="E478" s="1636"/>
      <c r="F478" s="1636"/>
      <c r="G478" s="1636"/>
      <c r="H478" s="1636"/>
      <c r="I478" s="1636"/>
      <c r="J478" s="1636"/>
      <c r="K478" s="1636"/>
      <c r="L478" s="1636"/>
      <c r="M478" s="1636"/>
      <c r="N478" s="1636"/>
      <c r="O478" s="1636"/>
      <c r="P478" s="1636"/>
      <c r="Q478" s="1636"/>
      <c r="R478" s="1636"/>
      <c r="S478" s="1636"/>
      <c r="T478" s="1636"/>
      <c r="U478" s="1636"/>
      <c r="V478" s="1636"/>
      <c r="W478" s="1636"/>
      <c r="X478" s="1636"/>
      <c r="Y478" s="1636"/>
      <c r="Z478" s="1636"/>
      <c r="AA478" s="1636"/>
      <c r="AB478" s="1636"/>
      <c r="AC478" s="1636"/>
      <c r="AD478" s="1636"/>
      <c r="AE478" s="1636"/>
      <c r="AF478" s="1636"/>
      <c r="AG478" s="1636"/>
      <c r="AH478" s="1636"/>
      <c r="AI478" s="1636"/>
      <c r="AJ478" s="1636"/>
      <c r="AK478" s="1636"/>
      <c r="AL478" s="1636"/>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37"/>
      <c r="B479" s="1637"/>
      <c r="C479" s="1637"/>
      <c r="D479" s="1637"/>
      <c r="E479" s="1637"/>
      <c r="F479" s="1637"/>
      <c r="G479" s="1637"/>
      <c r="H479" s="1637"/>
      <c r="I479" s="1637"/>
      <c r="J479" s="1637"/>
      <c r="K479" s="1637"/>
      <c r="L479" s="1637"/>
      <c r="M479" s="1637"/>
      <c r="N479" s="1637"/>
      <c r="O479" s="1637"/>
      <c r="P479" s="1637"/>
      <c r="Q479" s="1637"/>
      <c r="R479" s="1637"/>
      <c r="S479" s="1637"/>
      <c r="T479" s="1637"/>
      <c r="U479" s="1637"/>
      <c r="V479" s="1637"/>
      <c r="W479" s="1637"/>
      <c r="X479" s="1637"/>
      <c r="Y479" s="1637"/>
      <c r="Z479" s="1637"/>
      <c r="AA479" s="1637"/>
      <c r="AB479" s="1637"/>
      <c r="AC479" s="1637"/>
      <c r="AD479" s="1637"/>
      <c r="AE479" s="1637"/>
      <c r="AF479" s="1637"/>
      <c r="AG479" s="1637"/>
      <c r="AH479" s="1637"/>
      <c r="AI479" s="1637"/>
      <c r="AJ479" s="1637"/>
      <c r="AK479" s="1637"/>
      <c r="AL479" s="163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72" t="s">
        <v>394</v>
      </c>
      <c r="R483" s="1773"/>
      <c r="S483" s="1773"/>
      <c r="T483" s="1773"/>
      <c r="U483" s="1773"/>
      <c r="V483" s="1773"/>
      <c r="W483" s="1773"/>
      <c r="X483" s="1773"/>
      <c r="Y483" s="1773"/>
      <c r="Z483" s="1773"/>
      <c r="AA483" s="1773"/>
      <c r="AB483" s="1773"/>
      <c r="AC483" s="1773"/>
      <c r="AD483" s="1773"/>
      <c r="AE483" s="1773"/>
      <c r="AF483" s="1773"/>
      <c r="AG483" s="1773"/>
      <c r="AH483" s="1773"/>
      <c r="AI483" s="1773"/>
      <c r="AJ483" s="1773"/>
      <c r="AK483" s="177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674" t="s">
        <v>2697</v>
      </c>
      <c r="R484" s="1369"/>
      <c r="S484" s="1369"/>
      <c r="T484" s="1369"/>
      <c r="U484" s="1369"/>
      <c r="V484" s="1369"/>
      <c r="W484" s="1369"/>
      <c r="X484" s="1369"/>
      <c r="Y484" s="1369"/>
      <c r="Z484" s="1369"/>
      <c r="AA484" s="1369"/>
      <c r="AB484" s="1369"/>
      <c r="AC484" s="1369"/>
      <c r="AD484" s="1369"/>
      <c r="AE484" s="1369"/>
      <c r="AF484" s="1369"/>
      <c r="AG484" s="1369"/>
      <c r="AH484" s="1369"/>
      <c r="AI484" s="1369"/>
      <c r="AJ484" s="1369"/>
      <c r="AK484" s="1675"/>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674" t="s">
        <v>2726</v>
      </c>
      <c r="R485" s="1369"/>
      <c r="S485" s="1369"/>
      <c r="T485" s="1369"/>
      <c r="U485" s="1369"/>
      <c r="V485" s="1369"/>
      <c r="W485" s="1369"/>
      <c r="X485" s="1369"/>
      <c r="Y485" s="1369"/>
      <c r="Z485" s="1369"/>
      <c r="AA485" s="1369"/>
      <c r="AB485" s="1369"/>
      <c r="AC485" s="1369"/>
      <c r="AD485" s="1369"/>
      <c r="AE485" s="1369"/>
      <c r="AF485" s="1369"/>
      <c r="AG485" s="1369"/>
      <c r="AH485" s="1369"/>
      <c r="AI485" s="1369"/>
      <c r="AJ485" s="1369"/>
      <c r="AK485" s="167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674" t="s">
        <v>600</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675"/>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21" t="s">
        <v>398</v>
      </c>
      <c r="C487" s="1822"/>
      <c r="D487" s="1822"/>
      <c r="E487" s="1822"/>
      <c r="F487" s="1822"/>
      <c r="G487" s="1822"/>
      <c r="H487" s="1822"/>
      <c r="I487" s="1822"/>
      <c r="J487" s="1822"/>
      <c r="K487" s="1822"/>
      <c r="L487" s="1822"/>
      <c r="M487" s="1822"/>
      <c r="N487" s="1822"/>
      <c r="O487" s="1822"/>
      <c r="P487" s="1823"/>
      <c r="Q487" s="1827" t="s">
        <v>554</v>
      </c>
      <c r="R487" s="1828"/>
      <c r="S487" s="1588" t="s">
        <v>2727</v>
      </c>
      <c r="T487" s="1589"/>
      <c r="U487" s="1589"/>
      <c r="V487" s="1589"/>
      <c r="W487" s="1589"/>
      <c r="X487" s="1589"/>
      <c r="Y487" s="1589"/>
      <c r="Z487" s="1589"/>
      <c r="AA487" s="1589"/>
      <c r="AB487" s="1589"/>
      <c r="AC487" s="1589"/>
      <c r="AD487" s="1589"/>
      <c r="AE487" s="1589"/>
      <c r="AF487" s="1589"/>
      <c r="AG487" s="1589"/>
      <c r="AH487" s="1589"/>
      <c r="AI487" s="1589"/>
      <c r="AJ487" s="1589"/>
      <c r="AK487" s="159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24"/>
      <c r="C488" s="1825"/>
      <c r="D488" s="1825"/>
      <c r="E488" s="1825"/>
      <c r="F488" s="1825"/>
      <c r="G488" s="1825"/>
      <c r="H488" s="1825"/>
      <c r="I488" s="1825"/>
      <c r="J488" s="1825"/>
      <c r="K488" s="1825"/>
      <c r="L488" s="1825"/>
      <c r="M488" s="1825"/>
      <c r="N488" s="1825"/>
      <c r="O488" s="1825"/>
      <c r="P488" s="1826"/>
      <c r="Q488" s="1829"/>
      <c r="R488" s="1830"/>
      <c r="S488" s="1591"/>
      <c r="T488" s="1592"/>
      <c r="U488" s="1592"/>
      <c r="V488" s="1592"/>
      <c r="W488" s="1592"/>
      <c r="X488" s="1592"/>
      <c r="Y488" s="1592"/>
      <c r="Z488" s="1592"/>
      <c r="AA488" s="1592"/>
      <c r="AB488" s="1592"/>
      <c r="AC488" s="1592"/>
      <c r="AD488" s="1592"/>
      <c r="AE488" s="1592"/>
      <c r="AF488" s="1592"/>
      <c r="AG488" s="1592"/>
      <c r="AH488" s="1592"/>
      <c r="AI488" s="1592"/>
      <c r="AJ488" s="1592"/>
      <c r="AK488" s="159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815" t="s">
        <v>678</v>
      </c>
      <c r="R489" s="1816"/>
      <c r="S489" s="1816"/>
      <c r="T489" s="1816"/>
      <c r="U489" s="1816"/>
      <c r="V489" s="1816"/>
      <c r="W489" s="1816"/>
      <c r="X489" s="1816"/>
      <c r="Y489" s="1816"/>
      <c r="Z489" s="1816"/>
      <c r="AA489" s="1816"/>
      <c r="AB489" s="1816"/>
      <c r="AC489" s="1816"/>
      <c r="AD489" s="1816"/>
      <c r="AE489" s="1816"/>
      <c r="AF489" s="1816"/>
      <c r="AG489" s="1816"/>
      <c r="AH489" s="1816"/>
      <c r="AI489" s="1816"/>
      <c r="AJ489" s="1816"/>
      <c r="AK489" s="181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674" t="s">
        <v>2728</v>
      </c>
      <c r="R490" s="1369"/>
      <c r="S490" s="1369"/>
      <c r="T490" s="1369"/>
      <c r="U490" s="1369"/>
      <c r="V490" s="1369"/>
      <c r="W490" s="1369"/>
      <c r="X490" s="1369"/>
      <c r="Y490" s="1369"/>
      <c r="Z490" s="1369"/>
      <c r="AA490" s="1369"/>
      <c r="AB490" s="1369"/>
      <c r="AC490" s="1369"/>
      <c r="AD490" s="1369"/>
      <c r="AE490" s="1369"/>
      <c r="AF490" s="1369"/>
      <c r="AG490" s="1369"/>
      <c r="AH490" s="1369"/>
      <c r="AI490" s="1369"/>
      <c r="AJ490" s="1369"/>
      <c r="AK490" s="1675"/>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674" t="s">
        <v>2729</v>
      </c>
      <c r="R491" s="1369"/>
      <c r="S491" s="1369"/>
      <c r="T491" s="1369"/>
      <c r="U491" s="1369"/>
      <c r="V491" s="1369"/>
      <c r="W491" s="1369"/>
      <c r="X491" s="1369"/>
      <c r="Y491" s="1369"/>
      <c r="Z491" s="1369"/>
      <c r="AA491" s="1369"/>
      <c r="AB491" s="1369"/>
      <c r="AC491" s="1369"/>
      <c r="AD491" s="1369"/>
      <c r="AE491" s="1369"/>
      <c r="AF491" s="1369"/>
      <c r="AG491" s="1369"/>
      <c r="AH491" s="1369"/>
      <c r="AI491" s="1369"/>
      <c r="AJ491" s="1369"/>
      <c r="AK491" s="1675"/>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674">
        <v>201</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675"/>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605"/>
      <c r="N493" s="1606"/>
      <c r="O493" s="1606"/>
      <c r="P493" s="1607"/>
      <c r="Q493" s="121" t="s">
        <v>1851</v>
      </c>
      <c r="R493" s="5"/>
      <c r="S493" s="5"/>
      <c r="T493" s="5"/>
      <c r="U493" s="5"/>
      <c r="V493" s="5"/>
      <c r="W493" s="5"/>
      <c r="X493" s="5"/>
      <c r="Y493" s="5"/>
      <c r="Z493" s="5"/>
      <c r="AA493" s="5"/>
      <c r="AB493" s="5"/>
      <c r="AC493" s="5"/>
      <c r="AD493" s="5"/>
      <c r="AE493" s="5"/>
      <c r="AF493" s="5"/>
      <c r="AG493" s="5"/>
      <c r="AH493" s="1605">
        <v>201</v>
      </c>
      <c r="AI493" s="1606"/>
      <c r="AJ493" s="1606"/>
      <c r="AK493" s="160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72" t="s">
        <v>402</v>
      </c>
      <c r="AD497" s="1773"/>
      <c r="AE497" s="1773"/>
      <c r="AF497" s="1773"/>
      <c r="AG497" s="1773"/>
      <c r="AH497" s="1773"/>
      <c r="AI497" s="1773"/>
      <c r="AJ497" s="1773"/>
      <c r="AK497" s="177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72" t="s">
        <v>403</v>
      </c>
      <c r="AD498" s="1773"/>
      <c r="AE498" s="1773"/>
      <c r="AF498" s="1773"/>
      <c r="AG498" s="50" t="s">
        <v>404</v>
      </c>
      <c r="AH498" s="1773" t="s">
        <v>405</v>
      </c>
      <c r="AI498" s="1773"/>
      <c r="AJ498" s="1773"/>
      <c r="AK498" s="177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28" t="s">
        <v>406</v>
      </c>
      <c r="C499" s="1375"/>
      <c r="D499" s="1375"/>
      <c r="E499" s="1375"/>
      <c r="F499" s="1375"/>
      <c r="G499" s="1375"/>
      <c r="H499" s="1376"/>
      <c r="I499" s="42" t="s">
        <v>407</v>
      </c>
      <c r="J499" s="42"/>
      <c r="K499" s="42"/>
      <c r="L499" s="42"/>
      <c r="M499" s="42"/>
      <c r="N499" s="42"/>
      <c r="O499" s="42"/>
      <c r="P499" s="42"/>
      <c r="Q499" s="42"/>
      <c r="R499" s="42"/>
      <c r="S499" s="42"/>
      <c r="T499" s="42"/>
      <c r="U499" s="42"/>
      <c r="V499" s="42"/>
      <c r="W499" s="42"/>
      <c r="AC499" s="1775">
        <v>7</v>
      </c>
      <c r="AD499" s="1726"/>
      <c r="AE499" s="1726"/>
      <c r="AF499" s="1726"/>
      <c r="AG499" s="13" t="s">
        <v>404</v>
      </c>
      <c r="AH499" s="1524">
        <v>2022</v>
      </c>
      <c r="AI499" s="1524"/>
      <c r="AJ499" s="1524"/>
      <c r="AK499" s="152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29"/>
      <c r="C500" s="1377"/>
      <c r="D500" s="1377"/>
      <c r="E500" s="1377"/>
      <c r="F500" s="1377"/>
      <c r="G500" s="1377"/>
      <c r="H500" s="1378"/>
      <c r="I500" s="48" t="s">
        <v>408</v>
      </c>
      <c r="J500" s="48"/>
      <c r="K500" s="48"/>
      <c r="L500" s="48"/>
      <c r="M500" s="48"/>
      <c r="N500" s="48"/>
      <c r="O500" s="48"/>
      <c r="P500" s="48"/>
      <c r="Q500" s="48"/>
      <c r="R500" s="48"/>
      <c r="S500" s="48"/>
      <c r="T500" s="48"/>
      <c r="U500" s="48"/>
      <c r="V500" s="48"/>
      <c r="W500" s="48"/>
      <c r="X500" s="48"/>
      <c r="Y500" s="48"/>
      <c r="Z500" s="48"/>
      <c r="AA500" s="48"/>
      <c r="AB500" s="48"/>
      <c r="AC500" s="1775">
        <v>4</v>
      </c>
      <c r="AD500" s="1726"/>
      <c r="AE500" s="1726"/>
      <c r="AF500" s="1726"/>
      <c r="AG500" s="38" t="s">
        <v>404</v>
      </c>
      <c r="AH500" s="1524">
        <v>2023</v>
      </c>
      <c r="AI500" s="1524"/>
      <c r="AJ500" s="1524"/>
      <c r="AK500" s="152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28" t="s">
        <v>409</v>
      </c>
      <c r="C501" s="1375"/>
      <c r="D501" s="1375"/>
      <c r="E501" s="1375"/>
      <c r="F501" s="1375"/>
      <c r="G501" s="1375"/>
      <c r="H501" s="1376"/>
      <c r="I501" s="42" t="s">
        <v>410</v>
      </c>
      <c r="J501" s="42"/>
      <c r="K501" s="42"/>
      <c r="L501" s="42"/>
      <c r="M501" s="42"/>
      <c r="N501" s="42"/>
      <c r="O501" s="42"/>
      <c r="P501" s="42"/>
      <c r="Q501" s="42"/>
      <c r="R501" s="42"/>
      <c r="S501" s="42"/>
      <c r="T501" s="42"/>
      <c r="U501" s="42"/>
      <c r="V501" s="42"/>
      <c r="W501" s="42"/>
      <c r="AC501" s="1775" t="s">
        <v>600</v>
      </c>
      <c r="AD501" s="1726"/>
      <c r="AE501" s="1726"/>
      <c r="AF501" s="1726"/>
      <c r="AG501" s="13" t="s">
        <v>404</v>
      </c>
      <c r="AH501" s="1524"/>
      <c r="AI501" s="1524"/>
      <c r="AJ501" s="1524"/>
      <c r="AK501" s="152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29"/>
      <c r="C502" s="1377"/>
      <c r="D502" s="1377"/>
      <c r="E502" s="1377"/>
      <c r="F502" s="1377"/>
      <c r="G502" s="1377"/>
      <c r="H502" s="1378"/>
      <c r="I502" t="s">
        <v>411</v>
      </c>
      <c r="AC502" s="1775" t="s">
        <v>600</v>
      </c>
      <c r="AD502" s="1726"/>
      <c r="AE502" s="1726"/>
      <c r="AF502" s="1726"/>
      <c r="AG502" s="13" t="s">
        <v>404</v>
      </c>
      <c r="AH502" s="1524"/>
      <c r="AI502" s="1524"/>
      <c r="AJ502" s="1524"/>
      <c r="AK502" s="152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29"/>
      <c r="C503" s="1377"/>
      <c r="D503" s="1377"/>
      <c r="E503" s="1377"/>
      <c r="F503" s="1377"/>
      <c r="G503" s="1377"/>
      <c r="H503" s="1378"/>
      <c r="I503" t="s">
        <v>412</v>
      </c>
      <c r="AC503" s="1775">
        <v>7</v>
      </c>
      <c r="AD503" s="1726"/>
      <c r="AE503" s="1726"/>
      <c r="AF503" s="1726"/>
      <c r="AG503" s="13" t="s">
        <v>404</v>
      </c>
      <c r="AH503" s="1524">
        <v>2022</v>
      </c>
      <c r="AI503" s="1524"/>
      <c r="AJ503" s="1524"/>
      <c r="AK503" s="152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29"/>
      <c r="C504" s="1377"/>
      <c r="D504" s="1377"/>
      <c r="E504" s="1377"/>
      <c r="F504" s="1377"/>
      <c r="G504" s="1377"/>
      <c r="H504" s="1378"/>
      <c r="I504" t="s">
        <v>413</v>
      </c>
      <c r="AC504" s="1775" t="s">
        <v>600</v>
      </c>
      <c r="AD504" s="1726"/>
      <c r="AE504" s="1726"/>
      <c r="AF504" s="1726"/>
      <c r="AG504" s="13" t="s">
        <v>404</v>
      </c>
      <c r="AH504" s="1524"/>
      <c r="AI504" s="1524"/>
      <c r="AJ504" s="1524"/>
      <c r="AK504" s="152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29"/>
      <c r="C505" s="1377"/>
      <c r="D505" s="1377"/>
      <c r="E505" s="1377"/>
      <c r="F505" s="1377"/>
      <c r="G505" s="1377"/>
      <c r="H505" s="1378"/>
      <c r="I505" s="3" t="s">
        <v>414</v>
      </c>
      <c r="AC505" s="1381" t="s">
        <v>600</v>
      </c>
      <c r="AD505" s="1382"/>
      <c r="AE505" s="1382"/>
      <c r="AF505" s="1382"/>
      <c r="AG505" s="13" t="s">
        <v>404</v>
      </c>
      <c r="AH505" s="1524"/>
      <c r="AI505" s="1524"/>
      <c r="AJ505" s="1524"/>
      <c r="AK505" s="152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29"/>
      <c r="C506" s="1377"/>
      <c r="D506" s="1377"/>
      <c r="E506" s="1377"/>
      <c r="F506" s="1377"/>
      <c r="G506" s="1377"/>
      <c r="H506" s="1378"/>
      <c r="I506" s="933" t="s">
        <v>170</v>
      </c>
      <c r="J506" s="48"/>
      <c r="K506" s="48"/>
      <c r="L506" s="1776" t="s">
        <v>335</v>
      </c>
      <c r="M506" s="1777"/>
      <c r="N506" s="1777"/>
      <c r="O506" s="1777"/>
      <c r="P506" s="1777"/>
      <c r="Q506" s="1777"/>
      <c r="R506" s="1777"/>
      <c r="S506" s="1777"/>
      <c r="T506" s="1777"/>
      <c r="U506" s="1777"/>
      <c r="V506" s="1777"/>
      <c r="W506" s="1777"/>
      <c r="X506" s="1777"/>
      <c r="Y506" s="1777"/>
      <c r="Z506" s="1777"/>
      <c r="AA506" s="1777"/>
      <c r="AB506" s="1832"/>
      <c r="AC506" s="1775" t="s">
        <v>600</v>
      </c>
      <c r="AD506" s="1726"/>
      <c r="AE506" s="1726"/>
      <c r="AF506" s="1726"/>
      <c r="AG506" s="38" t="s">
        <v>404</v>
      </c>
      <c r="AH506" s="1524"/>
      <c r="AI506" s="1524"/>
      <c r="AJ506" s="1524"/>
      <c r="AK506" s="152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806" t="s">
        <v>554</v>
      </c>
      <c r="AD507" s="1806"/>
      <c r="AE507" s="1806"/>
      <c r="AF507" s="1806"/>
      <c r="AG507" s="13"/>
      <c r="AH507" s="1297"/>
      <c r="AI507" s="1297"/>
      <c r="AJ507" s="1297"/>
      <c r="AK507" s="183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81">
        <v>1</v>
      </c>
      <c r="AD508" s="1382"/>
      <c r="AE508" s="1382"/>
      <c r="AF508" s="1383"/>
      <c r="AG508" s="13"/>
      <c r="AH508" s="1297"/>
      <c r="AI508" s="1297"/>
      <c r="AJ508" s="1297"/>
      <c r="AK508" s="183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36"/>
      <c r="AD510" s="1837"/>
      <c r="AE510" s="1837"/>
      <c r="AF510" s="1838"/>
      <c r="AG510" s="38"/>
      <c r="AH510" s="1839"/>
      <c r="AI510" s="1839"/>
      <c r="AJ510" s="1839"/>
      <c r="AK510" s="184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14" t="s">
        <v>403</v>
      </c>
      <c r="AD511" s="1553"/>
      <c r="AE511" s="1553"/>
      <c r="AF511" s="1553"/>
      <c r="AG511" s="38" t="s">
        <v>404</v>
      </c>
      <c r="AH511" s="1553" t="s">
        <v>405</v>
      </c>
      <c r="AI511" s="1553"/>
      <c r="AJ511" s="1553"/>
      <c r="AK511" s="1778"/>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28" t="s">
        <v>415</v>
      </c>
      <c r="C512" s="1375"/>
      <c r="D512" s="1375"/>
      <c r="E512" s="1375"/>
      <c r="F512" s="1375"/>
      <c r="G512" s="1375"/>
      <c r="H512" s="1376"/>
      <c r="I512" s="42" t="s">
        <v>416</v>
      </c>
      <c r="J512" s="42"/>
      <c r="K512" s="42"/>
      <c r="L512" s="42"/>
      <c r="M512" s="42"/>
      <c r="N512" s="42"/>
      <c r="O512" s="42"/>
      <c r="P512" s="42"/>
      <c r="Q512" s="42"/>
      <c r="R512" s="42"/>
      <c r="S512" s="42"/>
      <c r="T512" s="42"/>
      <c r="U512" s="42"/>
      <c r="V512" s="42"/>
      <c r="W512" s="42"/>
      <c r="AC512" s="1775">
        <v>1</v>
      </c>
      <c r="AD512" s="1726"/>
      <c r="AE512" s="1726"/>
      <c r="AF512" s="1726"/>
      <c r="AG512" s="13" t="s">
        <v>404</v>
      </c>
      <c r="AH512" s="1524">
        <v>2023</v>
      </c>
      <c r="AI512" s="1524"/>
      <c r="AJ512" s="1524"/>
      <c r="AK512" s="1525"/>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29"/>
      <c r="C513" s="1377"/>
      <c r="D513" s="1377"/>
      <c r="E513" s="1377"/>
      <c r="F513" s="1377"/>
      <c r="G513" s="1377"/>
      <c r="H513" s="1378"/>
      <c r="I513" t="s">
        <v>417</v>
      </c>
      <c r="AC513" s="1775">
        <v>1</v>
      </c>
      <c r="AD513" s="1726"/>
      <c r="AE513" s="1726"/>
      <c r="AF513" s="1726"/>
      <c r="AG513" s="13" t="s">
        <v>404</v>
      </c>
      <c r="AH513" s="1524">
        <v>2023</v>
      </c>
      <c r="AI513" s="1524"/>
      <c r="AJ513" s="1524"/>
      <c r="AK513" s="1525"/>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29"/>
      <c r="C514" s="1377"/>
      <c r="D514" s="1377"/>
      <c r="E514" s="1377"/>
      <c r="F514" s="1377"/>
      <c r="G514" s="1377"/>
      <c r="H514" s="1378"/>
      <c r="I514" s="48" t="s">
        <v>418</v>
      </c>
      <c r="J514" s="48"/>
      <c r="K514" s="48"/>
      <c r="L514" s="48"/>
      <c r="M514" s="48"/>
      <c r="N514" s="48"/>
      <c r="O514" s="48"/>
      <c r="P514" s="48"/>
      <c r="Q514" s="48"/>
      <c r="R514" s="48"/>
      <c r="S514" s="48"/>
      <c r="T514" s="48"/>
      <c r="U514" s="48"/>
      <c r="V514" s="48"/>
      <c r="W514" s="48"/>
      <c r="X514" s="48"/>
      <c r="Y514" s="48"/>
      <c r="Z514" s="48"/>
      <c r="AA514" s="48"/>
      <c r="AB514" s="48"/>
      <c r="AC514" s="1775">
        <v>11</v>
      </c>
      <c r="AD514" s="1726"/>
      <c r="AE514" s="1726"/>
      <c r="AF514" s="1726"/>
      <c r="AG514" s="38" t="s">
        <v>404</v>
      </c>
      <c r="AH514" s="1524">
        <v>2023</v>
      </c>
      <c r="AI514" s="1524"/>
      <c r="AJ514" s="1524"/>
      <c r="AK514" s="1525"/>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28" t="s">
        <v>419</v>
      </c>
      <c r="C515" s="1375"/>
      <c r="D515" s="1375"/>
      <c r="E515" s="1375"/>
      <c r="F515" s="1375"/>
      <c r="G515" s="1375"/>
      <c r="H515" s="1376"/>
      <c r="I515" s="42" t="s">
        <v>416</v>
      </c>
      <c r="J515" s="42"/>
      <c r="K515" s="42"/>
      <c r="L515" s="42"/>
      <c r="M515" s="42"/>
      <c r="N515" s="42"/>
      <c r="O515" s="42"/>
      <c r="P515" s="42"/>
      <c r="Q515" s="42"/>
      <c r="R515" s="42"/>
      <c r="S515" s="42"/>
      <c r="T515" s="42"/>
      <c r="U515" s="42"/>
      <c r="V515" s="42"/>
      <c r="W515" s="42"/>
      <c r="X515" s="42"/>
      <c r="Y515" s="42"/>
      <c r="Z515" s="42"/>
      <c r="AA515" s="42"/>
      <c r="AB515" s="42"/>
      <c r="AC515" s="1381">
        <v>1</v>
      </c>
      <c r="AD515" s="1382"/>
      <c r="AE515" s="1382"/>
      <c r="AF515" s="1382"/>
      <c r="AG515" s="129" t="s">
        <v>404</v>
      </c>
      <c r="AH515" s="1524">
        <v>2023</v>
      </c>
      <c r="AI515" s="1524"/>
      <c r="AJ515" s="1524"/>
      <c r="AK515" s="1525"/>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29"/>
      <c r="C516" s="1377"/>
      <c r="D516" s="1377"/>
      <c r="E516" s="1377"/>
      <c r="F516" s="1377"/>
      <c r="G516" s="1377"/>
      <c r="H516" s="1378"/>
      <c r="I516" t="s">
        <v>417</v>
      </c>
      <c r="AC516" s="1775">
        <v>1</v>
      </c>
      <c r="AD516" s="1726"/>
      <c r="AE516" s="1726"/>
      <c r="AF516" s="1726"/>
      <c r="AG516" s="13" t="s">
        <v>404</v>
      </c>
      <c r="AH516" s="1524">
        <v>2023</v>
      </c>
      <c r="AI516" s="1524"/>
      <c r="AJ516" s="1524"/>
      <c r="AK516" s="1525"/>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0"/>
      <c r="C517" s="1379"/>
      <c r="D517" s="1379"/>
      <c r="E517" s="1379"/>
      <c r="F517" s="1379"/>
      <c r="G517" s="1379"/>
      <c r="H517" s="1380"/>
      <c r="I517" s="48" t="s">
        <v>418</v>
      </c>
      <c r="J517" s="48"/>
      <c r="K517" s="48"/>
      <c r="L517" s="48"/>
      <c r="M517" s="48"/>
      <c r="N517" s="48"/>
      <c r="O517" s="48"/>
      <c r="P517" s="48"/>
      <c r="Q517" s="48"/>
      <c r="R517" s="48"/>
      <c r="S517" s="48"/>
      <c r="T517" s="48"/>
      <c r="U517" s="48"/>
      <c r="V517" s="48"/>
      <c r="W517" s="48"/>
      <c r="X517" s="48"/>
      <c r="Y517" s="48"/>
      <c r="Z517" s="48"/>
      <c r="AA517" s="48"/>
      <c r="AB517" s="48"/>
      <c r="AC517" s="1775">
        <v>11</v>
      </c>
      <c r="AD517" s="1726"/>
      <c r="AE517" s="1726"/>
      <c r="AF517" s="1726"/>
      <c r="AG517" s="38" t="s">
        <v>404</v>
      </c>
      <c r="AH517" s="1524">
        <v>2023</v>
      </c>
      <c r="AI517" s="1524"/>
      <c r="AJ517" s="1524"/>
      <c r="AK517" s="1525"/>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28" t="s">
        <v>420</v>
      </c>
      <c r="C518" s="1375"/>
      <c r="D518" s="1375"/>
      <c r="E518" s="1375"/>
      <c r="F518" s="1375"/>
      <c r="G518" s="1375"/>
      <c r="H518" s="1376"/>
      <c r="I518" s="41" t="s">
        <v>421</v>
      </c>
      <c r="J518" s="42"/>
      <c r="K518" s="42"/>
      <c r="L518" s="42"/>
      <c r="M518" s="42"/>
      <c r="N518" s="42"/>
      <c r="O518" s="1776" t="s">
        <v>335</v>
      </c>
      <c r="P518" s="1777"/>
      <c r="Q518" s="1777"/>
      <c r="R518" s="1777"/>
      <c r="S518" s="1777"/>
      <c r="T518" s="1777"/>
      <c r="U518" s="1777"/>
      <c r="V518" s="1777"/>
      <c r="W518" s="1777"/>
      <c r="X518" s="1777"/>
      <c r="Y518" s="1777"/>
      <c r="Z518" s="1777"/>
      <c r="AA518" s="1777"/>
      <c r="AB518" s="58"/>
      <c r="AC518" s="1381" t="s">
        <v>600</v>
      </c>
      <c r="AD518" s="1382"/>
      <c r="AE518" s="1382"/>
      <c r="AF518" s="1382"/>
      <c r="AG518" s="129" t="s">
        <v>404</v>
      </c>
      <c r="AH518" s="1524"/>
      <c r="AI518" s="1524"/>
      <c r="AJ518" s="1524"/>
      <c r="AK518" s="1525"/>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29"/>
      <c r="C519" s="1377"/>
      <c r="D519" s="1377"/>
      <c r="E519" s="1377"/>
      <c r="F519" s="1377"/>
      <c r="G519" s="1377"/>
      <c r="H519" s="1378"/>
      <c r="I519" s="114" t="s">
        <v>422</v>
      </c>
      <c r="AB519" s="65"/>
      <c r="AC519" s="1775" t="s">
        <v>600</v>
      </c>
      <c r="AD519" s="1726"/>
      <c r="AE519" s="1726"/>
      <c r="AF519" s="1726"/>
      <c r="AG519" s="13" t="s">
        <v>404</v>
      </c>
      <c r="AH519" s="1524"/>
      <c r="AI519" s="1524"/>
      <c r="AJ519" s="1524"/>
      <c r="AK519" s="1525"/>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29"/>
      <c r="C520" s="1377"/>
      <c r="D520" s="1377"/>
      <c r="E520" s="1377"/>
      <c r="F520" s="1377"/>
      <c r="G520" s="1377"/>
      <c r="H520" s="1378"/>
      <c r="I520" s="47" t="s">
        <v>423</v>
      </c>
      <c r="J520" s="48"/>
      <c r="K520" s="48"/>
      <c r="L520" s="48"/>
      <c r="M520" s="48"/>
      <c r="N520" s="48"/>
      <c r="O520" s="48"/>
      <c r="P520" s="48"/>
      <c r="Q520" s="48"/>
      <c r="R520" s="48"/>
      <c r="S520" s="48"/>
      <c r="T520" s="48"/>
      <c r="U520" s="48"/>
      <c r="V520" s="48"/>
      <c r="W520" s="48"/>
      <c r="X520" s="48"/>
      <c r="Y520" s="48"/>
      <c r="Z520" s="48"/>
      <c r="AA520" s="48"/>
      <c r="AB520" s="49"/>
      <c r="AC520" s="1775" t="s">
        <v>600</v>
      </c>
      <c r="AD520" s="1726"/>
      <c r="AE520" s="1726"/>
      <c r="AF520" s="1726"/>
      <c r="AG520" s="38" t="s">
        <v>404</v>
      </c>
      <c r="AH520" s="1524"/>
      <c r="AI520" s="1524"/>
      <c r="AJ520" s="1524"/>
      <c r="AK520" s="1525"/>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29"/>
      <c r="C521" s="1377"/>
      <c r="D521" s="1377"/>
      <c r="E521" s="1377"/>
      <c r="F521" s="1377"/>
      <c r="G521" s="1377"/>
      <c r="H521" s="1378"/>
      <c r="I521" s="42" t="s">
        <v>424</v>
      </c>
      <c r="J521" s="42"/>
      <c r="K521" s="42"/>
      <c r="L521" s="42"/>
      <c r="M521" s="42"/>
      <c r="N521" s="42"/>
      <c r="O521" s="1776" t="s">
        <v>335</v>
      </c>
      <c r="P521" s="1777"/>
      <c r="Q521" s="1777"/>
      <c r="R521" s="1777"/>
      <c r="S521" s="1777"/>
      <c r="T521" s="1777"/>
      <c r="U521" s="1777"/>
      <c r="V521" s="1777"/>
      <c r="W521" s="1777"/>
      <c r="X521" s="1777"/>
      <c r="Y521" s="1777"/>
      <c r="Z521" s="1777"/>
      <c r="AA521" s="1777"/>
      <c r="AC521" s="1775" t="s">
        <v>600</v>
      </c>
      <c r="AD521" s="1726"/>
      <c r="AE521" s="1726"/>
      <c r="AF521" s="1726"/>
      <c r="AG521" s="13" t="s">
        <v>404</v>
      </c>
      <c r="AH521" s="1524"/>
      <c r="AI521" s="1524"/>
      <c r="AJ521" s="1524"/>
      <c r="AK521" s="1525"/>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29"/>
      <c r="C522" s="1377"/>
      <c r="D522" s="1377"/>
      <c r="E522" s="1377"/>
      <c r="F522" s="1377"/>
      <c r="G522" s="1377"/>
      <c r="H522" s="1378"/>
      <c r="I522" t="s">
        <v>422</v>
      </c>
      <c r="AC522" s="1775" t="s">
        <v>600</v>
      </c>
      <c r="AD522" s="1726"/>
      <c r="AE522" s="1726"/>
      <c r="AF522" s="1726"/>
      <c r="AG522" s="13" t="s">
        <v>404</v>
      </c>
      <c r="AH522" s="1524"/>
      <c r="AI522" s="1524"/>
      <c r="AJ522" s="1524"/>
      <c r="AK522" s="1525"/>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29"/>
      <c r="C523" s="1377"/>
      <c r="D523" s="1377"/>
      <c r="E523" s="1377"/>
      <c r="F523" s="1377"/>
      <c r="G523" s="1377"/>
      <c r="H523" s="1378"/>
      <c r="I523" s="48" t="s">
        <v>423</v>
      </c>
      <c r="J523" s="48"/>
      <c r="K523" s="48"/>
      <c r="L523" s="48"/>
      <c r="M523" s="48"/>
      <c r="N523" s="48"/>
      <c r="O523" s="48"/>
      <c r="P523" s="48"/>
      <c r="Q523" s="48"/>
      <c r="R523" s="48"/>
      <c r="S523" s="48"/>
      <c r="T523" s="48"/>
      <c r="U523" s="48"/>
      <c r="V523" s="48"/>
      <c r="W523" s="48"/>
      <c r="X523" s="48"/>
      <c r="Y523" s="48"/>
      <c r="Z523" s="48"/>
      <c r="AA523" s="48"/>
      <c r="AB523" s="48"/>
      <c r="AC523" s="1775" t="s">
        <v>600</v>
      </c>
      <c r="AD523" s="1726"/>
      <c r="AE523" s="1726"/>
      <c r="AF523" s="1726"/>
      <c r="AG523" s="38" t="s">
        <v>404</v>
      </c>
      <c r="AH523" s="1524"/>
      <c r="AI523" s="1524"/>
      <c r="AJ523" s="1524"/>
      <c r="AK523" s="1525"/>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29"/>
      <c r="C524" s="1377"/>
      <c r="D524" s="1377"/>
      <c r="E524" s="1377"/>
      <c r="F524" s="1377"/>
      <c r="G524" s="1377"/>
      <c r="H524" s="1378"/>
      <c r="I524" s="42" t="s">
        <v>424</v>
      </c>
      <c r="J524" s="42"/>
      <c r="K524" s="42"/>
      <c r="L524" s="42"/>
      <c r="M524" s="42"/>
      <c r="N524" s="42"/>
      <c r="O524" s="1776" t="s">
        <v>335</v>
      </c>
      <c r="P524" s="1777"/>
      <c r="Q524" s="1777"/>
      <c r="R524" s="1777"/>
      <c r="S524" s="1777"/>
      <c r="T524" s="1777"/>
      <c r="U524" s="1777"/>
      <c r="V524" s="1777"/>
      <c r="W524" s="1777"/>
      <c r="X524" s="1777"/>
      <c r="Y524" s="1777"/>
      <c r="Z524" s="1777"/>
      <c r="AA524" s="1777"/>
      <c r="AC524" s="1775" t="s">
        <v>600</v>
      </c>
      <c r="AD524" s="1726"/>
      <c r="AE524" s="1726"/>
      <c r="AF524" s="1726"/>
      <c r="AG524" s="13" t="s">
        <v>404</v>
      </c>
      <c r="AH524" s="1524"/>
      <c r="AI524" s="1524"/>
      <c r="AJ524" s="1524"/>
      <c r="AK524" s="1525"/>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29"/>
      <c r="C525" s="1377"/>
      <c r="D525" s="1377"/>
      <c r="E525" s="1377"/>
      <c r="F525" s="1377"/>
      <c r="G525" s="1377"/>
      <c r="H525" s="1378"/>
      <c r="I525" t="s">
        <v>422</v>
      </c>
      <c r="AC525" s="1775" t="s">
        <v>600</v>
      </c>
      <c r="AD525" s="1726"/>
      <c r="AE525" s="1726"/>
      <c r="AF525" s="1726"/>
      <c r="AG525" s="13" t="s">
        <v>404</v>
      </c>
      <c r="AH525" s="1524"/>
      <c r="AI525" s="1524"/>
      <c r="AJ525" s="1524"/>
      <c r="AK525" s="1525"/>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29"/>
      <c r="C526" s="1377"/>
      <c r="D526" s="1377"/>
      <c r="E526" s="1377"/>
      <c r="F526" s="1377"/>
      <c r="G526" s="1377"/>
      <c r="H526" s="1378"/>
      <c r="I526" s="48" t="s">
        <v>423</v>
      </c>
      <c r="J526" s="48"/>
      <c r="K526" s="48"/>
      <c r="L526" s="48"/>
      <c r="M526" s="48"/>
      <c r="N526" s="48"/>
      <c r="O526" s="48"/>
      <c r="P526" s="48"/>
      <c r="Q526" s="48"/>
      <c r="R526" s="48"/>
      <c r="S526" s="48"/>
      <c r="T526" s="48"/>
      <c r="U526" s="48"/>
      <c r="V526" s="48"/>
      <c r="W526" s="48"/>
      <c r="X526" s="48"/>
      <c r="Y526" s="48"/>
      <c r="Z526" s="48"/>
      <c r="AA526" s="48"/>
      <c r="AB526" s="48"/>
      <c r="AC526" s="1775" t="s">
        <v>600</v>
      </c>
      <c r="AD526" s="1726"/>
      <c r="AE526" s="1726"/>
      <c r="AF526" s="1726"/>
      <c r="AG526" s="38" t="s">
        <v>404</v>
      </c>
      <c r="AH526" s="1524"/>
      <c r="AI526" s="1524"/>
      <c r="AJ526" s="1524"/>
      <c r="AK526" s="1525"/>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29"/>
      <c r="C527" s="1377"/>
      <c r="D527" s="1377"/>
      <c r="E527" s="1377"/>
      <c r="F527" s="1377"/>
      <c r="G527" s="1377"/>
      <c r="H527" s="1378"/>
      <c r="I527" s="42" t="s">
        <v>424</v>
      </c>
      <c r="J527" s="42"/>
      <c r="K527" s="42"/>
      <c r="L527" s="42"/>
      <c r="M527" s="42"/>
      <c r="N527" s="42"/>
      <c r="O527" s="1776" t="s">
        <v>335</v>
      </c>
      <c r="P527" s="1777"/>
      <c r="Q527" s="1777"/>
      <c r="R527" s="1777"/>
      <c r="S527" s="1777"/>
      <c r="T527" s="1777"/>
      <c r="U527" s="1777"/>
      <c r="V527" s="1777"/>
      <c r="W527" s="1777"/>
      <c r="X527" s="1777"/>
      <c r="Y527" s="1777"/>
      <c r="Z527" s="1777"/>
      <c r="AA527" s="1777"/>
      <c r="AC527" s="1775" t="s">
        <v>600</v>
      </c>
      <c r="AD527" s="1726"/>
      <c r="AE527" s="1726"/>
      <c r="AF527" s="1726"/>
      <c r="AG527" s="13" t="s">
        <v>404</v>
      </c>
      <c r="AH527" s="1524"/>
      <c r="AI527" s="1524"/>
      <c r="AJ527" s="1524"/>
      <c r="AK527" s="1525"/>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29"/>
      <c r="C528" s="1377"/>
      <c r="D528" s="1377"/>
      <c r="E528" s="1377"/>
      <c r="F528" s="1377"/>
      <c r="G528" s="1377"/>
      <c r="H528" s="1378"/>
      <c r="I528" t="s">
        <v>422</v>
      </c>
      <c r="AC528" s="1775" t="s">
        <v>600</v>
      </c>
      <c r="AD528" s="1726"/>
      <c r="AE528" s="1726"/>
      <c r="AF528" s="1726"/>
      <c r="AG528" s="13" t="s">
        <v>404</v>
      </c>
      <c r="AH528" s="1524"/>
      <c r="AI528" s="1524"/>
      <c r="AJ528" s="1524"/>
      <c r="AK528" s="1525"/>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29"/>
      <c r="C529" s="1377"/>
      <c r="D529" s="1377"/>
      <c r="E529" s="1377"/>
      <c r="F529" s="1377"/>
      <c r="G529" s="1377"/>
      <c r="H529" s="1378"/>
      <c r="I529" s="48" t="s">
        <v>423</v>
      </c>
      <c r="J529" s="48"/>
      <c r="K529" s="48"/>
      <c r="L529" s="48"/>
      <c r="M529" s="48"/>
      <c r="N529" s="48"/>
      <c r="O529" s="48"/>
      <c r="P529" s="48"/>
      <c r="Q529" s="48"/>
      <c r="R529" s="48"/>
      <c r="S529" s="48"/>
      <c r="T529" s="48"/>
      <c r="U529" s="48"/>
      <c r="V529" s="48"/>
      <c r="W529" s="48"/>
      <c r="X529" s="48"/>
      <c r="Y529" s="48"/>
      <c r="Z529" s="48"/>
      <c r="AA529" s="48"/>
      <c r="AB529" s="48"/>
      <c r="AC529" s="1775" t="s">
        <v>600</v>
      </c>
      <c r="AD529" s="1726"/>
      <c r="AE529" s="1726"/>
      <c r="AF529" s="1726"/>
      <c r="AG529" s="38" t="s">
        <v>404</v>
      </c>
      <c r="AH529" s="1524"/>
      <c r="AI529" s="1524"/>
      <c r="AJ529" s="1524"/>
      <c r="AK529" s="1525"/>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29"/>
      <c r="C530" s="1377"/>
      <c r="D530" s="1377"/>
      <c r="E530" s="1377"/>
      <c r="F530" s="1377"/>
      <c r="G530" s="1377"/>
      <c r="H530" s="1378"/>
      <c r="I530" s="42" t="s">
        <v>424</v>
      </c>
      <c r="J530" s="42"/>
      <c r="K530" s="42"/>
      <c r="L530" s="42"/>
      <c r="M530" s="42"/>
      <c r="N530" s="42"/>
      <c r="O530" s="1776" t="s">
        <v>335</v>
      </c>
      <c r="P530" s="1777"/>
      <c r="Q530" s="1777"/>
      <c r="R530" s="1777"/>
      <c r="S530" s="1777"/>
      <c r="T530" s="1777"/>
      <c r="U530" s="1777"/>
      <c r="V530" s="1777"/>
      <c r="W530" s="1777"/>
      <c r="X530" s="1777"/>
      <c r="Y530" s="1777"/>
      <c r="Z530" s="1777"/>
      <c r="AA530" s="1777"/>
      <c r="AC530" s="1775" t="s">
        <v>600</v>
      </c>
      <c r="AD530" s="1726"/>
      <c r="AE530" s="1726"/>
      <c r="AF530" s="1726"/>
      <c r="AG530" s="13" t="s">
        <v>404</v>
      </c>
      <c r="AH530" s="1524"/>
      <c r="AI530" s="1524"/>
      <c r="AJ530" s="1524"/>
      <c r="AK530" s="1525"/>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29"/>
      <c r="C531" s="1377"/>
      <c r="D531" s="1377"/>
      <c r="E531" s="1377"/>
      <c r="F531" s="1377"/>
      <c r="G531" s="1377"/>
      <c r="H531" s="1378"/>
      <c r="I531" t="s">
        <v>422</v>
      </c>
      <c r="AC531" s="1775" t="s">
        <v>600</v>
      </c>
      <c r="AD531" s="1726"/>
      <c r="AE531" s="1726"/>
      <c r="AF531" s="1726"/>
      <c r="AG531" s="38" t="s">
        <v>404</v>
      </c>
      <c r="AH531" s="1524"/>
      <c r="AI531" s="1524"/>
      <c r="AJ531" s="1524"/>
      <c r="AK531" s="1525"/>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29"/>
      <c r="C532" s="1377"/>
      <c r="D532" s="1377"/>
      <c r="E532" s="1377"/>
      <c r="F532" s="1377"/>
      <c r="G532" s="1377"/>
      <c r="H532" s="1378"/>
      <c r="I532" s="48" t="s">
        <v>423</v>
      </c>
      <c r="J532" s="48"/>
      <c r="K532" s="48"/>
      <c r="L532" s="48"/>
      <c r="M532" s="48"/>
      <c r="N532" s="48"/>
      <c r="O532" s="48"/>
      <c r="P532" s="48"/>
      <c r="Q532" s="48"/>
      <c r="R532" s="48"/>
      <c r="S532" s="48"/>
      <c r="T532" s="48"/>
      <c r="U532" s="48"/>
      <c r="V532" s="48"/>
      <c r="W532" s="48"/>
      <c r="X532" s="48"/>
      <c r="Y532" s="48"/>
      <c r="Z532" s="48"/>
      <c r="AA532" s="48"/>
      <c r="AB532" s="48"/>
      <c r="AC532" s="1775" t="s">
        <v>600</v>
      </c>
      <c r="AD532" s="1726"/>
      <c r="AE532" s="1726"/>
      <c r="AF532" s="1726"/>
      <c r="AG532" s="13" t="s">
        <v>404</v>
      </c>
      <c r="AH532" s="1524"/>
      <c r="AI532" s="1524"/>
      <c r="AJ532" s="1524"/>
      <c r="AK532" s="1525"/>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29"/>
      <c r="C533" s="1377"/>
      <c r="D533" s="1377"/>
      <c r="E533" s="1377"/>
      <c r="F533" s="1377"/>
      <c r="G533" s="1377"/>
      <c r="H533" s="1378"/>
      <c r="I533" s="42" t="s">
        <v>424</v>
      </c>
      <c r="J533" s="42"/>
      <c r="K533" s="42"/>
      <c r="L533" s="42"/>
      <c r="M533" s="42"/>
      <c r="N533" s="42"/>
      <c r="O533" s="1776" t="s">
        <v>335</v>
      </c>
      <c r="P533" s="1777"/>
      <c r="Q533" s="1777"/>
      <c r="R533" s="1777"/>
      <c r="S533" s="1777"/>
      <c r="T533" s="1777"/>
      <c r="U533" s="1777"/>
      <c r="V533" s="1777"/>
      <c r="W533" s="1777"/>
      <c r="X533" s="1777"/>
      <c r="Y533" s="1777"/>
      <c r="Z533" s="1777"/>
      <c r="AA533" s="1777"/>
      <c r="AC533" s="1775" t="s">
        <v>600</v>
      </c>
      <c r="AD533" s="1726"/>
      <c r="AE533" s="1726"/>
      <c r="AF533" s="1726"/>
      <c r="AG533" s="38" t="s">
        <v>404</v>
      </c>
      <c r="AH533" s="1524"/>
      <c r="AI533" s="1524"/>
      <c r="AJ533" s="1524"/>
      <c r="AK533" s="1525"/>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29"/>
      <c r="C534" s="1377"/>
      <c r="D534" s="1377"/>
      <c r="E534" s="1377"/>
      <c r="F534" s="1377"/>
      <c r="G534" s="1377"/>
      <c r="H534" s="1378"/>
      <c r="I534" t="s">
        <v>422</v>
      </c>
      <c r="AC534" s="1775" t="s">
        <v>600</v>
      </c>
      <c r="AD534" s="1726"/>
      <c r="AE534" s="1726"/>
      <c r="AF534" s="1726"/>
      <c r="AG534" s="13" t="s">
        <v>404</v>
      </c>
      <c r="AH534" s="1524"/>
      <c r="AI534" s="1524"/>
      <c r="AJ534" s="1524"/>
      <c r="AK534" s="1525"/>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29"/>
      <c r="C535" s="1377"/>
      <c r="D535" s="1377"/>
      <c r="E535" s="1377"/>
      <c r="F535" s="1377"/>
      <c r="G535" s="1377"/>
      <c r="H535" s="1378"/>
      <c r="I535" s="48" t="s">
        <v>423</v>
      </c>
      <c r="J535" s="48"/>
      <c r="K535" s="48"/>
      <c r="L535" s="48"/>
      <c r="M535" s="48"/>
      <c r="N535" s="48"/>
      <c r="O535" s="48"/>
      <c r="P535" s="48"/>
      <c r="Q535" s="48"/>
      <c r="R535" s="48"/>
      <c r="S535" s="48"/>
      <c r="T535" s="48"/>
      <c r="U535" s="48"/>
      <c r="V535" s="48"/>
      <c r="W535" s="48"/>
      <c r="X535" s="48"/>
      <c r="Y535" s="48"/>
      <c r="Z535" s="48"/>
      <c r="AA535" s="48"/>
      <c r="AB535" s="48"/>
      <c r="AC535" s="1775" t="s">
        <v>600</v>
      </c>
      <c r="AD535" s="1726"/>
      <c r="AE535" s="1726"/>
      <c r="AF535" s="1726"/>
      <c r="AG535" s="38" t="s">
        <v>404</v>
      </c>
      <c r="AH535" s="1524"/>
      <c r="AI535" s="1524"/>
      <c r="AJ535" s="1524"/>
      <c r="AK535" s="1525"/>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29"/>
      <c r="C536" s="1377"/>
      <c r="D536" s="1377"/>
      <c r="E536" s="1377"/>
      <c r="F536" s="1377"/>
      <c r="G536" s="1377"/>
      <c r="H536" s="1378"/>
      <c r="I536" s="42" t="s">
        <v>571</v>
      </c>
      <c r="J536" s="42"/>
      <c r="K536" s="42"/>
      <c r="L536" s="42"/>
      <c r="M536" s="42"/>
      <c r="N536" s="42"/>
      <c r="O536" s="42"/>
      <c r="P536" s="42"/>
      <c r="Q536" s="42"/>
      <c r="R536" s="42"/>
      <c r="S536" s="42"/>
      <c r="T536" s="42"/>
      <c r="U536" s="42"/>
      <c r="V536" s="42"/>
      <c r="W536" s="42"/>
      <c r="AC536" s="1775">
        <v>11</v>
      </c>
      <c r="AD536" s="1726"/>
      <c r="AE536" s="1726"/>
      <c r="AF536" s="1726"/>
      <c r="AG536" s="38" t="s">
        <v>404</v>
      </c>
      <c r="AH536" s="1524">
        <v>2023</v>
      </c>
      <c r="AI536" s="1524"/>
      <c r="AJ536" s="1524"/>
      <c r="AK536" s="1525"/>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29"/>
      <c r="C537" s="1377"/>
      <c r="D537" s="1377"/>
      <c r="E537" s="1377"/>
      <c r="F537" s="1377"/>
      <c r="G537" s="1377"/>
      <c r="H537" s="1378"/>
      <c r="I537" t="s">
        <v>572</v>
      </c>
      <c r="AC537" s="1775">
        <v>11</v>
      </c>
      <c r="AD537" s="1726"/>
      <c r="AE537" s="1726"/>
      <c r="AF537" s="1726"/>
      <c r="AG537" s="13" t="s">
        <v>404</v>
      </c>
      <c r="AH537" s="1524">
        <v>2023</v>
      </c>
      <c r="AI537" s="1524"/>
      <c r="AJ537" s="1524"/>
      <c r="AK537" s="152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29"/>
      <c r="C538" s="1377"/>
      <c r="D538" s="1377"/>
      <c r="E538" s="1377"/>
      <c r="F538" s="1377"/>
      <c r="G538" s="1377"/>
      <c r="H538" s="1378"/>
      <c r="I538" t="s">
        <v>573</v>
      </c>
      <c r="AC538" s="1775">
        <v>2</v>
      </c>
      <c r="AD538" s="1726"/>
      <c r="AE538" s="1726"/>
      <c r="AF538" s="1726"/>
      <c r="AG538" s="38" t="s">
        <v>404</v>
      </c>
      <c r="AH538" s="1524">
        <v>2025</v>
      </c>
      <c r="AI538" s="1524"/>
      <c r="AJ538" s="1524"/>
      <c r="AK538" s="152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29"/>
      <c r="C539" s="1377"/>
      <c r="D539" s="1377"/>
      <c r="E539" s="1377"/>
      <c r="F539" s="1377"/>
      <c r="G539" s="1377"/>
      <c r="H539" s="1378"/>
      <c r="I539" t="s">
        <v>574</v>
      </c>
      <c r="AC539" s="1775">
        <v>2</v>
      </c>
      <c r="AD539" s="1726"/>
      <c r="AE539" s="1726"/>
      <c r="AF539" s="1726"/>
      <c r="AG539" s="38" t="s">
        <v>404</v>
      </c>
      <c r="AH539" s="1524">
        <v>2025</v>
      </c>
      <c r="AI539" s="1524"/>
      <c r="AJ539" s="1524"/>
      <c r="AK539" s="152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0"/>
      <c r="C540" s="1379"/>
      <c r="D540" s="1379"/>
      <c r="E540" s="1379"/>
      <c r="F540" s="1379"/>
      <c r="G540" s="1379"/>
      <c r="H540" s="1380"/>
      <c r="I540" s="48" t="s">
        <v>460</v>
      </c>
      <c r="J540" s="48"/>
      <c r="K540" s="48"/>
      <c r="L540" s="48"/>
      <c r="M540" s="48"/>
      <c r="N540" s="48"/>
      <c r="O540" s="48"/>
      <c r="P540" s="48"/>
      <c r="Q540" s="48"/>
      <c r="R540" s="48"/>
      <c r="S540" s="48"/>
      <c r="T540" s="48"/>
      <c r="U540" s="48"/>
      <c r="V540" s="48"/>
      <c r="W540" s="48"/>
      <c r="X540" s="48"/>
      <c r="Y540" s="48"/>
      <c r="Z540" s="48"/>
      <c r="AA540" s="48"/>
      <c r="AB540" s="48"/>
      <c r="AC540" s="1775">
        <v>5</v>
      </c>
      <c r="AD540" s="1726"/>
      <c r="AE540" s="1726"/>
      <c r="AF540" s="1726"/>
      <c r="AG540" s="38" t="s">
        <v>404</v>
      </c>
      <c r="AH540" s="1524">
        <v>2026</v>
      </c>
      <c r="AI540" s="1524"/>
      <c r="AJ540" s="1524"/>
      <c r="AK540" s="152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2" t="s">
        <v>2530</v>
      </c>
      <c r="C549" s="1793"/>
      <c r="D549" s="1793"/>
      <c r="E549" s="1793"/>
      <c r="F549" s="1793"/>
      <c r="G549" s="1793"/>
      <c r="H549" s="1793"/>
      <c r="I549" s="1793"/>
      <c r="J549" s="1793"/>
      <c r="K549" s="1793"/>
      <c r="L549" s="1794"/>
      <c r="M549" s="1374" t="s">
        <v>2531</v>
      </c>
      <c r="N549" s="1374"/>
      <c r="O549" s="1374"/>
      <c r="P549" s="1374"/>
      <c r="Q549" s="1792" t="s">
        <v>2557</v>
      </c>
      <c r="R549" s="1793"/>
      <c r="S549" s="1794"/>
      <c r="T549" s="1792" t="s">
        <v>2558</v>
      </c>
      <c r="U549" s="1793"/>
      <c r="V549" s="1794"/>
      <c r="W549" s="1792" t="s">
        <v>462</v>
      </c>
      <c r="X549" s="1793"/>
      <c r="Y549" s="1794"/>
      <c r="Z549" s="1792" t="s">
        <v>2114</v>
      </c>
      <c r="AA549" s="1793"/>
      <c r="AB549" s="1793"/>
      <c r="AC549" s="1793"/>
      <c r="AD549" s="1793"/>
      <c r="AE549" s="1792" t="s">
        <v>1935</v>
      </c>
      <c r="AF549" s="1793"/>
      <c r="AG549" s="1793"/>
      <c r="AH549" s="1794"/>
      <c r="AI549" s="1792" t="s">
        <v>1936</v>
      </c>
      <c r="AJ549" s="1793"/>
      <c r="AK549" s="1793"/>
      <c r="AL549" s="1794"/>
      <c r="AM549" s="1792" t="s">
        <v>463</v>
      </c>
      <c r="AN549" s="1793"/>
      <c r="AO549" s="1793"/>
      <c r="AP549" s="1793"/>
      <c r="AQ549" s="1793"/>
      <c r="AR549" s="1793"/>
      <c r="AS549" s="1794"/>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8" t="s">
        <v>2709</v>
      </c>
      <c r="D550" s="1368"/>
      <c r="E550" s="1368"/>
      <c r="F550" s="1368"/>
      <c r="G550" s="1368"/>
      <c r="H550" s="1368"/>
      <c r="I550" s="1368"/>
      <c r="J550" s="1368"/>
      <c r="K550" s="1368"/>
      <c r="L550" s="1368"/>
      <c r="M550" s="1368" t="s">
        <v>2547</v>
      </c>
      <c r="N550" s="1368"/>
      <c r="O550" s="1368"/>
      <c r="P550" s="1368"/>
      <c r="Q550" s="1354">
        <v>30</v>
      </c>
      <c r="R550" s="1354"/>
      <c r="S550" s="1355"/>
      <c r="T550" s="1353"/>
      <c r="U550" s="1354"/>
      <c r="V550" s="1355"/>
      <c r="W550" s="1356">
        <v>6.8000000000000005E-2</v>
      </c>
      <c r="X550" s="1357"/>
      <c r="Y550" s="1358"/>
      <c r="Z550" s="1371" t="s">
        <v>2719</v>
      </c>
      <c r="AA550" s="1371"/>
      <c r="AB550" s="1371"/>
      <c r="AC550" s="1371"/>
      <c r="AD550" s="1371"/>
      <c r="AE550" s="1786"/>
      <c r="AF550" s="1787"/>
      <c r="AG550" s="1787"/>
      <c r="AH550" s="1788"/>
      <c r="AI550" s="1789"/>
      <c r="AJ550" s="1790"/>
      <c r="AK550" s="1790"/>
      <c r="AL550" s="1791"/>
      <c r="AM550" s="1795">
        <v>23965000</v>
      </c>
      <c r="AN550" s="1796"/>
      <c r="AO550" s="1796"/>
      <c r="AP550" s="1796"/>
      <c r="AQ550" s="1796"/>
      <c r="AR550" s="1796"/>
      <c r="AS550" s="1797"/>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4" t="s">
        <v>2709</v>
      </c>
      <c r="D551" s="1654"/>
      <c r="E551" s="1654"/>
      <c r="F551" s="1654"/>
      <c r="G551" s="1654"/>
      <c r="H551" s="1654"/>
      <c r="I551" s="1654"/>
      <c r="J551" s="1654"/>
      <c r="K551" s="1654"/>
      <c r="L551" s="1654"/>
      <c r="M551" s="1368" t="s">
        <v>2548</v>
      </c>
      <c r="N551" s="1368"/>
      <c r="O551" s="1368"/>
      <c r="P551" s="1368"/>
      <c r="Q551" s="1353">
        <v>30</v>
      </c>
      <c r="R551" s="1354"/>
      <c r="S551" s="1355"/>
      <c r="T551" s="1353"/>
      <c r="U551" s="1354"/>
      <c r="V551" s="1355"/>
      <c r="W551" s="1356">
        <v>6.8000000000000005E-2</v>
      </c>
      <c r="X551" s="1357"/>
      <c r="Y551" s="1358"/>
      <c r="Z551" s="1371" t="s">
        <v>2719</v>
      </c>
      <c r="AA551" s="1371"/>
      <c r="AB551" s="1371"/>
      <c r="AC551" s="1371"/>
      <c r="AD551" s="1371"/>
      <c r="AE551" s="1786"/>
      <c r="AF551" s="1787"/>
      <c r="AG551" s="1787"/>
      <c r="AH551" s="1788"/>
      <c r="AI551" s="1789"/>
      <c r="AJ551" s="1790"/>
      <c r="AK551" s="1790"/>
      <c r="AL551" s="1791"/>
      <c r="AM551" s="1795">
        <v>6800000</v>
      </c>
      <c r="AN551" s="1796"/>
      <c r="AO551" s="1796"/>
      <c r="AP551" s="1796"/>
      <c r="AQ551" s="1796"/>
      <c r="AR551" s="1796"/>
      <c r="AS551" s="179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4" t="s">
        <v>2712</v>
      </c>
      <c r="D552" s="1654"/>
      <c r="E552" s="1654"/>
      <c r="F552" s="1654"/>
      <c r="G552" s="1654"/>
      <c r="H552" s="1654"/>
      <c r="I552" s="1654"/>
      <c r="J552" s="1654"/>
      <c r="K552" s="1654"/>
      <c r="L552" s="1654"/>
      <c r="M552" s="1368" t="s">
        <v>2533</v>
      </c>
      <c r="N552" s="1368"/>
      <c r="O552" s="1368"/>
      <c r="P552" s="1368"/>
      <c r="Q552" s="1353"/>
      <c r="R552" s="1354"/>
      <c r="S552" s="1355"/>
      <c r="T552" s="1353"/>
      <c r="U552" s="1354"/>
      <c r="V552" s="1355"/>
      <c r="W552" s="1356"/>
      <c r="X552" s="1357"/>
      <c r="Y552" s="1358"/>
      <c r="Z552" s="1371" t="s">
        <v>1327</v>
      </c>
      <c r="AA552" s="1371"/>
      <c r="AB552" s="1371"/>
      <c r="AC552" s="1371"/>
      <c r="AD552" s="1371"/>
      <c r="AE552" s="1786"/>
      <c r="AF552" s="1787"/>
      <c r="AG552" s="1787"/>
      <c r="AH552" s="1788"/>
      <c r="AI552" s="1789"/>
      <c r="AJ552" s="1790"/>
      <c r="AK552" s="1790"/>
      <c r="AL552" s="1791"/>
      <c r="AM552" s="1795">
        <v>6067452</v>
      </c>
      <c r="AN552" s="1796"/>
      <c r="AO552" s="1796"/>
      <c r="AP552" s="1796"/>
      <c r="AQ552" s="1796"/>
      <c r="AR552" s="1796"/>
      <c r="AS552" s="179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54" t="s">
        <v>2713</v>
      </c>
      <c r="D553" s="1654"/>
      <c r="E553" s="1654"/>
      <c r="F553" s="1654"/>
      <c r="G553" s="1654"/>
      <c r="H553" s="1654"/>
      <c r="I553" s="1654"/>
      <c r="J553" s="1654"/>
      <c r="K553" s="1654"/>
      <c r="L553" s="1654"/>
      <c r="M553" s="1368" t="s">
        <v>2538</v>
      </c>
      <c r="N553" s="1368"/>
      <c r="O553" s="1368"/>
      <c r="P553" s="1368"/>
      <c r="Q553" s="1353"/>
      <c r="R553" s="1354"/>
      <c r="S553" s="1355"/>
      <c r="T553" s="1353"/>
      <c r="U553" s="1354"/>
      <c r="V553" s="1355"/>
      <c r="W553" s="1356"/>
      <c r="X553" s="1357"/>
      <c r="Y553" s="1358"/>
      <c r="Z553" s="1371" t="s">
        <v>1327</v>
      </c>
      <c r="AA553" s="1371"/>
      <c r="AB553" s="1371"/>
      <c r="AC553" s="1371"/>
      <c r="AD553" s="1371"/>
      <c r="AE553" s="1786"/>
      <c r="AF553" s="1787"/>
      <c r="AG553" s="1787"/>
      <c r="AH553" s="1788"/>
      <c r="AI553" s="1789"/>
      <c r="AJ553" s="1790"/>
      <c r="AK553" s="1790"/>
      <c r="AL553" s="1791"/>
      <c r="AM553" s="1795">
        <v>13503242</v>
      </c>
      <c r="AN553" s="1796"/>
      <c r="AO553" s="1796"/>
      <c r="AP553" s="1796"/>
      <c r="AQ553" s="1796"/>
      <c r="AR553" s="1796"/>
      <c r="AS553" s="179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54"/>
      <c r="D554" s="1654"/>
      <c r="E554" s="1654"/>
      <c r="F554" s="1654"/>
      <c r="G554" s="1654"/>
      <c r="H554" s="1654"/>
      <c r="I554" s="1654"/>
      <c r="J554" s="1654"/>
      <c r="K554" s="1654"/>
      <c r="L554" s="1654"/>
      <c r="M554" s="1368" t="s">
        <v>1327</v>
      </c>
      <c r="N554" s="1368"/>
      <c r="O554" s="1368"/>
      <c r="P554" s="1368"/>
      <c r="Q554" s="1353"/>
      <c r="R554" s="1354"/>
      <c r="S554" s="1355"/>
      <c r="T554" s="1353"/>
      <c r="U554" s="1354"/>
      <c r="V554" s="1355"/>
      <c r="W554" s="1356"/>
      <c r="X554" s="1357"/>
      <c r="Y554" s="1358"/>
      <c r="Z554" s="1371" t="s">
        <v>1327</v>
      </c>
      <c r="AA554" s="1371"/>
      <c r="AB554" s="1371"/>
      <c r="AC554" s="1371"/>
      <c r="AD554" s="1371"/>
      <c r="AE554" s="1786"/>
      <c r="AF554" s="1787"/>
      <c r="AG554" s="1787"/>
      <c r="AH554" s="1788"/>
      <c r="AI554" s="1789"/>
      <c r="AJ554" s="1790"/>
      <c r="AK554" s="1790"/>
      <c r="AL554" s="1791"/>
      <c r="AM554" s="1795"/>
      <c r="AN554" s="1796"/>
      <c r="AO554" s="1796"/>
      <c r="AP554" s="1796"/>
      <c r="AQ554" s="1796"/>
      <c r="AR554" s="1796"/>
      <c r="AS554" s="179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54"/>
      <c r="D555" s="1654"/>
      <c r="E555" s="1654"/>
      <c r="F555" s="1654"/>
      <c r="G555" s="1654"/>
      <c r="H555" s="1654"/>
      <c r="I555" s="1654"/>
      <c r="J555" s="1654"/>
      <c r="K555" s="1654"/>
      <c r="L555" s="1654"/>
      <c r="M555" s="1368" t="s">
        <v>1327</v>
      </c>
      <c r="N555" s="1368"/>
      <c r="O555" s="1368"/>
      <c r="P555" s="1368"/>
      <c r="Q555" s="1353"/>
      <c r="R555" s="1354"/>
      <c r="S555" s="1355"/>
      <c r="T555" s="1353"/>
      <c r="U555" s="1354"/>
      <c r="V555" s="1355"/>
      <c r="W555" s="1356"/>
      <c r="X555" s="1357"/>
      <c r="Y555" s="1358"/>
      <c r="Z555" s="1371" t="s">
        <v>1327</v>
      </c>
      <c r="AA555" s="1371"/>
      <c r="AB555" s="1371"/>
      <c r="AC555" s="1371"/>
      <c r="AD555" s="1371"/>
      <c r="AE555" s="1786"/>
      <c r="AF555" s="1787"/>
      <c r="AG555" s="1787"/>
      <c r="AH555" s="1788"/>
      <c r="AI555" s="1789"/>
      <c r="AJ555" s="1790"/>
      <c r="AK555" s="1790"/>
      <c r="AL555" s="1791"/>
      <c r="AM555" s="1795"/>
      <c r="AN555" s="1796"/>
      <c r="AO555" s="1796"/>
      <c r="AP555" s="1796"/>
      <c r="AQ555" s="1796"/>
      <c r="AR555" s="1796"/>
      <c r="AS555" s="179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54"/>
      <c r="D556" s="1654"/>
      <c r="E556" s="1654"/>
      <c r="F556" s="1654"/>
      <c r="G556" s="1654"/>
      <c r="H556" s="1654"/>
      <c r="I556" s="1654"/>
      <c r="J556" s="1654"/>
      <c r="K556" s="1654"/>
      <c r="L556" s="1654"/>
      <c r="M556" s="1368" t="s">
        <v>1327</v>
      </c>
      <c r="N556" s="1368"/>
      <c r="O556" s="1368"/>
      <c r="P556" s="1368"/>
      <c r="Q556" s="1353"/>
      <c r="R556" s="1354"/>
      <c r="S556" s="1355"/>
      <c r="T556" s="1353"/>
      <c r="U556" s="1354"/>
      <c r="V556" s="1355"/>
      <c r="W556" s="1356"/>
      <c r="X556" s="1357"/>
      <c r="Y556" s="1358"/>
      <c r="Z556" s="1371" t="s">
        <v>1327</v>
      </c>
      <c r="AA556" s="1371"/>
      <c r="AB556" s="1371"/>
      <c r="AC556" s="1371"/>
      <c r="AD556" s="1371"/>
      <c r="AE556" s="1786"/>
      <c r="AF556" s="1787"/>
      <c r="AG556" s="1787"/>
      <c r="AH556" s="1788"/>
      <c r="AI556" s="1789"/>
      <c r="AJ556" s="1790"/>
      <c r="AK556" s="1790"/>
      <c r="AL556" s="1791"/>
      <c r="AM556" s="1795"/>
      <c r="AN556" s="1796"/>
      <c r="AO556" s="1796"/>
      <c r="AP556" s="1796"/>
      <c r="AQ556" s="1796"/>
      <c r="AR556" s="1796"/>
      <c r="AS556" s="179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54"/>
      <c r="D557" s="1654"/>
      <c r="E557" s="1654"/>
      <c r="F557" s="1654"/>
      <c r="G557" s="1654"/>
      <c r="H557" s="1654"/>
      <c r="I557" s="1654"/>
      <c r="J557" s="1654"/>
      <c r="K557" s="1654"/>
      <c r="L557" s="1654"/>
      <c r="M557" s="1368" t="s">
        <v>1327</v>
      </c>
      <c r="N557" s="1368"/>
      <c r="O557" s="1368"/>
      <c r="P557" s="1368"/>
      <c r="Q557" s="1353"/>
      <c r="R557" s="1354"/>
      <c r="S557" s="1355"/>
      <c r="T557" s="1353"/>
      <c r="U557" s="1354"/>
      <c r="V557" s="1355"/>
      <c r="W557" s="1356"/>
      <c r="X557" s="1357"/>
      <c r="Y557" s="1358"/>
      <c r="Z557" s="1371" t="s">
        <v>1327</v>
      </c>
      <c r="AA557" s="1371"/>
      <c r="AB557" s="1371"/>
      <c r="AC557" s="1371"/>
      <c r="AD557" s="1371"/>
      <c r="AE557" s="1786"/>
      <c r="AF557" s="1787"/>
      <c r="AG557" s="1787"/>
      <c r="AH557" s="1788"/>
      <c r="AI557" s="1789"/>
      <c r="AJ557" s="1790"/>
      <c r="AK557" s="1790"/>
      <c r="AL557" s="1791"/>
      <c r="AM557" s="1795"/>
      <c r="AN557" s="1796"/>
      <c r="AO557" s="1796"/>
      <c r="AP557" s="1796"/>
      <c r="AQ557" s="1796"/>
      <c r="AR557" s="1796"/>
      <c r="AS557" s="1797"/>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54"/>
      <c r="D558" s="1654"/>
      <c r="E558" s="1654"/>
      <c r="F558" s="1654"/>
      <c r="G558" s="1654"/>
      <c r="H558" s="1654"/>
      <c r="I558" s="1654"/>
      <c r="J558" s="1654"/>
      <c r="K558" s="1654"/>
      <c r="L558" s="1654"/>
      <c r="M558" s="1368" t="s">
        <v>1327</v>
      </c>
      <c r="N558" s="1368"/>
      <c r="O558" s="1368"/>
      <c r="P558" s="1368"/>
      <c r="Q558" s="1353"/>
      <c r="R558" s="1354"/>
      <c r="S558" s="1355"/>
      <c r="T558" s="1353"/>
      <c r="U558" s="1354"/>
      <c r="V558" s="1355"/>
      <c r="W558" s="1356"/>
      <c r="X558" s="1357"/>
      <c r="Y558" s="1358"/>
      <c r="Z558" s="1371" t="s">
        <v>1327</v>
      </c>
      <c r="AA558" s="1371"/>
      <c r="AB558" s="1371"/>
      <c r="AC558" s="1371"/>
      <c r="AD558" s="1371"/>
      <c r="AE558" s="1786"/>
      <c r="AF558" s="1787"/>
      <c r="AG558" s="1787"/>
      <c r="AH558" s="1788"/>
      <c r="AI558" s="1789"/>
      <c r="AJ558" s="1790"/>
      <c r="AK558" s="1790"/>
      <c r="AL558" s="1791"/>
      <c r="AM558" s="1795"/>
      <c r="AN558" s="1796"/>
      <c r="AO558" s="1796"/>
      <c r="AP558" s="1796"/>
      <c r="AQ558" s="1796"/>
      <c r="AR558" s="1796"/>
      <c r="AS558" s="1797"/>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54"/>
      <c r="D559" s="1654"/>
      <c r="E559" s="1654"/>
      <c r="F559" s="1654"/>
      <c r="G559" s="1654"/>
      <c r="H559" s="1654"/>
      <c r="I559" s="1654"/>
      <c r="J559" s="1654"/>
      <c r="K559" s="1654"/>
      <c r="L559" s="1654"/>
      <c r="M559" s="1368" t="s">
        <v>1327</v>
      </c>
      <c r="N559" s="1368"/>
      <c r="O559" s="1368"/>
      <c r="P559" s="1368"/>
      <c r="Q559" s="1353"/>
      <c r="R559" s="1354"/>
      <c r="S559" s="1355"/>
      <c r="T559" s="1353"/>
      <c r="U559" s="1354"/>
      <c r="V559" s="1355"/>
      <c r="W559" s="1356"/>
      <c r="X559" s="1357"/>
      <c r="Y559" s="1358"/>
      <c r="Z559" s="1371" t="s">
        <v>1327</v>
      </c>
      <c r="AA559" s="1371"/>
      <c r="AB559" s="1371"/>
      <c r="AC559" s="1371"/>
      <c r="AD559" s="1371"/>
      <c r="AE559" s="1786"/>
      <c r="AF559" s="1787"/>
      <c r="AG559" s="1787"/>
      <c r="AH559" s="1788"/>
      <c r="AI559" s="1789"/>
      <c r="AJ559" s="1790"/>
      <c r="AK559" s="1790"/>
      <c r="AL559" s="1791"/>
      <c r="AM559" s="1795"/>
      <c r="AN559" s="1796"/>
      <c r="AO559" s="1796"/>
      <c r="AP559" s="1796"/>
      <c r="AQ559" s="1796"/>
      <c r="AR559" s="1796"/>
      <c r="AS559" s="179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654"/>
      <c r="D560" s="1654"/>
      <c r="E560" s="1654"/>
      <c r="F560" s="1654"/>
      <c r="G560" s="1654"/>
      <c r="H560" s="1654"/>
      <c r="I560" s="1654"/>
      <c r="J560" s="1654"/>
      <c r="K560" s="1654"/>
      <c r="L560" s="1654"/>
      <c r="M560" s="1368" t="s">
        <v>1327</v>
      </c>
      <c r="N560" s="1368"/>
      <c r="O560" s="1368"/>
      <c r="P560" s="1368"/>
      <c r="Q560" s="1353"/>
      <c r="R560" s="1354"/>
      <c r="S560" s="1355"/>
      <c r="T560" s="1353"/>
      <c r="U560" s="1354"/>
      <c r="V560" s="1355"/>
      <c r="W560" s="1356"/>
      <c r="X560" s="1357"/>
      <c r="Y560" s="1358"/>
      <c r="Z560" s="1371" t="s">
        <v>1327</v>
      </c>
      <c r="AA560" s="1371"/>
      <c r="AB560" s="1371"/>
      <c r="AC560" s="1371"/>
      <c r="AD560" s="1371"/>
      <c r="AE560" s="1786"/>
      <c r="AF560" s="1787"/>
      <c r="AG560" s="1787"/>
      <c r="AH560" s="1788"/>
      <c r="AI560" s="1789"/>
      <c r="AJ560" s="1790"/>
      <c r="AK560" s="1790"/>
      <c r="AL560" s="1791"/>
      <c r="AM560" s="1795"/>
      <c r="AN560" s="1796"/>
      <c r="AO560" s="1796"/>
      <c r="AP560" s="1796"/>
      <c r="AQ560" s="1796"/>
      <c r="AR560" s="1796"/>
      <c r="AS560" s="179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654"/>
      <c r="D561" s="1654"/>
      <c r="E561" s="1654"/>
      <c r="F561" s="1654"/>
      <c r="G561" s="1654"/>
      <c r="H561" s="1654"/>
      <c r="I561" s="1654"/>
      <c r="J561" s="1654"/>
      <c r="K561" s="1654"/>
      <c r="L561" s="1654"/>
      <c r="M561" s="1368" t="s">
        <v>1327</v>
      </c>
      <c r="N561" s="1368"/>
      <c r="O561" s="1368"/>
      <c r="P561" s="1368"/>
      <c r="Q561" s="1353"/>
      <c r="R561" s="1354"/>
      <c r="S561" s="1355"/>
      <c r="T561" s="1353"/>
      <c r="U561" s="1354"/>
      <c r="V561" s="1355"/>
      <c r="W561" s="1356"/>
      <c r="X561" s="1357"/>
      <c r="Y561" s="1358"/>
      <c r="Z561" s="1371" t="s">
        <v>1327</v>
      </c>
      <c r="AA561" s="1371"/>
      <c r="AB561" s="1371"/>
      <c r="AC561" s="1371"/>
      <c r="AD561" s="1371"/>
      <c r="AE561" s="1786"/>
      <c r="AF561" s="1787"/>
      <c r="AG561" s="1787"/>
      <c r="AH561" s="1788"/>
      <c r="AI561" s="1789"/>
      <c r="AJ561" s="1790"/>
      <c r="AK561" s="1790"/>
      <c r="AL561" s="1791"/>
      <c r="AM561" s="1795"/>
      <c r="AN561" s="1796"/>
      <c r="AO561" s="1796"/>
      <c r="AP561" s="1796"/>
      <c r="AQ561" s="1796"/>
      <c r="AR561" s="1796"/>
      <c r="AS561" s="179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4" t="s">
        <v>128</v>
      </c>
      <c r="C562" s="1575"/>
      <c r="D562" s="1575"/>
      <c r="E562" s="1575"/>
      <c r="F562" s="1575"/>
      <c r="G562" s="1575"/>
      <c r="H562" s="1575"/>
      <c r="I562" s="1575"/>
      <c r="J562" s="1575"/>
      <c r="K562" s="1575"/>
      <c r="L562" s="1575"/>
      <c r="M562" s="1575"/>
      <c r="N562" s="1575"/>
      <c r="O562" s="1575"/>
      <c r="P562" s="1575"/>
      <c r="Q562" s="1575"/>
      <c r="R562" s="1575"/>
      <c r="S562" s="1575"/>
      <c r="T562" s="1575"/>
      <c r="U562" s="1735"/>
      <c r="V562" s="1575"/>
      <c r="W562" s="1575"/>
      <c r="X562" s="1575"/>
      <c r="Y562" s="1575"/>
      <c r="Z562" s="1575"/>
      <c r="AA562" s="1575"/>
      <c r="AB562" s="1575"/>
      <c r="AC562" s="1575"/>
      <c r="AD562" s="1575"/>
      <c r="AE562" s="1575"/>
      <c r="AF562" s="1575"/>
      <c r="AG562" s="1575"/>
      <c r="AH562" s="1575"/>
      <c r="AI562" s="1575"/>
      <c r="AJ562" s="1575"/>
      <c r="AK562" s="1575"/>
      <c r="AL562" s="1576"/>
      <c r="AM562" s="1638">
        <f>SUM(AM550:AS561)</f>
        <v>50335694</v>
      </c>
      <c r="AN562" s="1639"/>
      <c r="AO562" s="1639"/>
      <c r="AP562" s="1639"/>
      <c r="AQ562" s="1639"/>
      <c r="AR562" s="1639"/>
      <c r="AS562" s="164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1" t="str">
        <f>C550</f>
        <v>Citibank, N.A.</v>
      </c>
      <c r="H564" s="1351"/>
      <c r="I564" s="1351"/>
      <c r="J564" s="1351"/>
      <c r="K564" s="1351"/>
      <c r="L564" s="1351"/>
      <c r="M564" s="1351"/>
      <c r="N564" s="1351"/>
      <c r="O564" s="1351"/>
      <c r="P564" s="1351"/>
      <c r="Q564" s="1351"/>
      <c r="R564" s="1351"/>
      <c r="S564" s="8"/>
      <c r="T564" s="55" t="s">
        <v>114</v>
      </c>
      <c r="U564" t="s">
        <v>472</v>
      </c>
      <c r="Z564" s="1351" t="str">
        <f>C551</f>
        <v>Citibank, N.A.</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2" t="s">
        <v>2705</v>
      </c>
      <c r="H565" s="1352"/>
      <c r="I565" s="1352"/>
      <c r="J565" s="1352"/>
      <c r="K565" s="1352"/>
      <c r="L565" s="1352"/>
      <c r="M565" s="1352"/>
      <c r="N565" s="1352"/>
      <c r="O565" s="1352"/>
      <c r="P565" s="1352"/>
      <c r="Q565" s="1352"/>
      <c r="R565" s="1352"/>
      <c r="S565" s="8"/>
      <c r="T565" s="22"/>
      <c r="U565" t="s">
        <v>86</v>
      </c>
      <c r="Z565" s="1352" t="s">
        <v>2705</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2" t="s">
        <v>2716</v>
      </c>
      <c r="H566" s="1352"/>
      <c r="I566" s="1352"/>
      <c r="J566" s="1352"/>
      <c r="K566" s="1352"/>
      <c r="L566" s="1352"/>
      <c r="M566" s="1352"/>
      <c r="N566" s="1352"/>
      <c r="O566" s="1352"/>
      <c r="P566" s="1352"/>
      <c r="Q566" s="1352"/>
      <c r="R566" s="1352"/>
      <c r="T566" s="22"/>
      <c r="U566" t="s">
        <v>589</v>
      </c>
      <c r="Z566" s="1369" t="s">
        <v>2716</v>
      </c>
      <c r="AA566" s="1369"/>
      <c r="AB566" s="1369"/>
      <c r="AC566" s="1369"/>
      <c r="AD566" s="1369"/>
      <c r="AE566" s="1369"/>
      <c r="AF566" s="1369"/>
      <c r="AG566" s="1369"/>
      <c r="AH566" s="1369"/>
      <c r="AI566" s="1369"/>
      <c r="AJ566" s="1369"/>
      <c r="AK566" s="1369"/>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2" t="s">
        <v>2706</v>
      </c>
      <c r="H567" s="1352"/>
      <c r="I567" s="1352"/>
      <c r="J567" s="1352"/>
      <c r="K567" s="1352"/>
      <c r="L567" s="1352"/>
      <c r="M567" s="1352"/>
      <c r="N567" s="1352"/>
      <c r="O567" s="1352"/>
      <c r="P567" s="1352"/>
      <c r="Q567" s="1352"/>
      <c r="R567" s="1352"/>
      <c r="S567" s="8"/>
      <c r="T567" s="22"/>
      <c r="U567" t="s">
        <v>17</v>
      </c>
      <c r="Z567" s="1369" t="s">
        <v>2706</v>
      </c>
      <c r="AA567" s="1369"/>
      <c r="AB567" s="1369"/>
      <c r="AC567" s="1369"/>
      <c r="AD567" s="1369"/>
      <c r="AE567" s="1369"/>
      <c r="AF567" s="1369"/>
      <c r="AG567" s="1369"/>
      <c r="AH567" s="1369"/>
      <c r="AI567" s="1369"/>
      <c r="AJ567" s="1369"/>
      <c r="AK567" s="136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372">
        <v>8055570933</v>
      </c>
      <c r="H568" s="1372"/>
      <c r="I568" s="1372"/>
      <c r="J568" s="1372"/>
      <c r="K568" s="1372"/>
      <c r="L568" s="1372"/>
      <c r="O568" s="33" t="s">
        <v>207</v>
      </c>
      <c r="P568" s="1350"/>
      <c r="Q568" s="1350"/>
      <c r="R568" s="1350"/>
      <c r="S568" s="10"/>
      <c r="T568" s="22"/>
      <c r="U568" t="s">
        <v>317</v>
      </c>
      <c r="Z568" s="1372">
        <v>8055570933</v>
      </c>
      <c r="AA568" s="1372"/>
      <c r="AB568" s="1372"/>
      <c r="AC568" s="1372"/>
      <c r="AD568" s="1372"/>
      <c r="AE568" s="1372"/>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2" t="s">
        <v>2707</v>
      </c>
      <c r="I569" s="1352"/>
      <c r="J569" s="1352"/>
      <c r="K569" s="1352"/>
      <c r="L569" s="1352"/>
      <c r="M569" s="1352"/>
      <c r="N569" s="1352"/>
      <c r="O569" s="1352"/>
      <c r="P569" s="1352"/>
      <c r="Q569" s="1352"/>
      <c r="R569" s="1352"/>
      <c r="S569" s="8"/>
      <c r="T569" s="22"/>
      <c r="U569" t="s">
        <v>18</v>
      </c>
      <c r="AA569" s="1352" t="s">
        <v>2715</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656"/>
      <c r="N570" s="1656"/>
      <c r="O570" s="1656"/>
      <c r="P570" s="1656"/>
      <c r="Q570" s="1656"/>
      <c r="R570" s="1656"/>
      <c r="S570" s="8"/>
      <c r="T570" s="22"/>
      <c r="U570" s="349" t="s">
        <v>1328</v>
      </c>
      <c r="AA570" s="8"/>
      <c r="AB570" s="8"/>
      <c r="AC570" s="8"/>
      <c r="AD570" s="8"/>
      <c r="AE570" s="8"/>
      <c r="AF570" s="1656"/>
      <c r="AG570" s="1656"/>
      <c r="AH570" s="1656"/>
      <c r="AI570" s="1656"/>
      <c r="AJ570" s="1656"/>
      <c r="AK570" s="16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0" t="s">
        <v>554</v>
      </c>
      <c r="O571" s="1370"/>
      <c r="T571" s="22"/>
      <c r="U571" t="s">
        <v>20</v>
      </c>
      <c r="AG571" s="1370" t="s">
        <v>554</v>
      </c>
      <c r="AH571" s="137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1" t="str">
        <f>C552</f>
        <v>Deferred Costs</v>
      </c>
      <c r="H573" s="1351"/>
      <c r="I573" s="1351"/>
      <c r="J573" s="1351"/>
      <c r="K573" s="1351"/>
      <c r="L573" s="1351"/>
      <c r="M573" s="1351"/>
      <c r="N573" s="1351"/>
      <c r="O573" s="1351"/>
      <c r="P573" s="1351"/>
      <c r="Q573" s="1351"/>
      <c r="R573" s="1351"/>
      <c r="T573" s="55" t="s">
        <v>590</v>
      </c>
      <c r="U573" t="s">
        <v>472</v>
      </c>
      <c r="Z573" s="1351" t="str">
        <f>C553</f>
        <v>WNC &amp; Associates</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2" t="s">
        <v>2631</v>
      </c>
      <c r="H574" s="1352"/>
      <c r="I574" s="1352"/>
      <c r="J574" s="1352"/>
      <c r="K574" s="1352"/>
      <c r="L574" s="1352"/>
      <c r="M574" s="1352"/>
      <c r="N574" s="1352"/>
      <c r="O574" s="1352"/>
      <c r="P574" s="1352"/>
      <c r="Q574" s="1352"/>
      <c r="R574" s="1352"/>
      <c r="T574" s="22"/>
      <c r="U574" t="s">
        <v>86</v>
      </c>
      <c r="Z574" s="1352" t="s">
        <v>2682</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9" t="s">
        <v>2632</v>
      </c>
      <c r="H575" s="1369"/>
      <c r="I575" s="1369"/>
      <c r="J575" s="1369"/>
      <c r="K575" s="1369"/>
      <c r="L575" s="1369"/>
      <c r="M575" s="1369"/>
      <c r="N575" s="1369"/>
      <c r="O575" s="1369"/>
      <c r="P575" s="1369"/>
      <c r="Q575" s="1369"/>
      <c r="R575" s="1369"/>
      <c r="T575" s="22"/>
      <c r="U575" t="s">
        <v>589</v>
      </c>
      <c r="Z575" s="1369" t="s">
        <v>2717</v>
      </c>
      <c r="AA575" s="1369"/>
      <c r="AB575" s="1369"/>
      <c r="AC575" s="1369"/>
      <c r="AD575" s="1369"/>
      <c r="AE575" s="1369"/>
      <c r="AF575" s="1369"/>
      <c r="AG575" s="1369"/>
      <c r="AH575" s="1369"/>
      <c r="AI575" s="1369"/>
      <c r="AJ575" s="1369"/>
      <c r="AK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9" t="s">
        <v>2654</v>
      </c>
      <c r="H576" s="1369"/>
      <c r="I576" s="1369"/>
      <c r="J576" s="1369"/>
      <c r="K576" s="1369"/>
      <c r="L576" s="1369"/>
      <c r="M576" s="1369"/>
      <c r="N576" s="1369"/>
      <c r="O576" s="1369"/>
      <c r="P576" s="1369"/>
      <c r="Q576" s="1369"/>
      <c r="R576" s="1369"/>
      <c r="T576" s="22"/>
      <c r="U576" t="s">
        <v>17</v>
      </c>
      <c r="Z576" s="1369" t="s">
        <v>2684</v>
      </c>
      <c r="AA576" s="1369"/>
      <c r="AB576" s="1369"/>
      <c r="AC576" s="1369"/>
      <c r="AD576" s="1369"/>
      <c r="AE576" s="1369"/>
      <c r="AF576" s="1369"/>
      <c r="AG576" s="1369"/>
      <c r="AH576" s="1369"/>
      <c r="AI576" s="1369"/>
      <c r="AJ576" s="1369"/>
      <c r="AK576" s="136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372">
        <v>9167736060</v>
      </c>
      <c r="H577" s="1372"/>
      <c r="I577" s="1372"/>
      <c r="J577" s="1372"/>
      <c r="K577" s="1372"/>
      <c r="L577" s="1372"/>
      <c r="O577" s="33" t="s">
        <v>207</v>
      </c>
      <c r="P577" s="1350"/>
      <c r="Q577" s="1350"/>
      <c r="R577" s="1350"/>
      <c r="T577" s="22"/>
      <c r="U577" t="s">
        <v>317</v>
      </c>
      <c r="Z577" s="1372">
        <v>9494392616</v>
      </c>
      <c r="AA577" s="1372"/>
      <c r="AB577" s="1372"/>
      <c r="AC577" s="1372"/>
      <c r="AD577" s="1372"/>
      <c r="AE577" s="1372"/>
      <c r="AH577" s="33" t="s">
        <v>207</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2" t="s">
        <v>2712</v>
      </c>
      <c r="I578" s="1352"/>
      <c r="J578" s="1352"/>
      <c r="K578" s="1352"/>
      <c r="L578" s="1352"/>
      <c r="M578" s="1352"/>
      <c r="N578" s="1352"/>
      <c r="O578" s="1352"/>
      <c r="P578" s="1352"/>
      <c r="Q578" s="1352"/>
      <c r="R578" s="1352"/>
      <c r="T578" s="22"/>
      <c r="U578" t="s">
        <v>18</v>
      </c>
      <c r="AA578" s="1352" t="s">
        <v>2718</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0" t="s">
        <v>554</v>
      </c>
      <c r="O579" s="1370"/>
      <c r="T579" s="22"/>
      <c r="U579" t="s">
        <v>20</v>
      </c>
      <c r="AG579" s="1370" t="s">
        <v>554</v>
      </c>
      <c r="AH579" s="137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1">
        <f>C554</f>
        <v>0</v>
      </c>
      <c r="H581" s="1351"/>
      <c r="I581" s="1351"/>
      <c r="J581" s="1351"/>
      <c r="K581" s="1351"/>
      <c r="L581" s="1351"/>
      <c r="M581" s="1351"/>
      <c r="N581" s="1351"/>
      <c r="O581" s="1351"/>
      <c r="P581" s="1351"/>
      <c r="Q581" s="1351"/>
      <c r="R581" s="1351"/>
      <c r="T581" s="55" t="s">
        <v>593</v>
      </c>
      <c r="U581" t="s">
        <v>472</v>
      </c>
      <c r="Z581" s="1351">
        <f>C555</f>
        <v>0</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2"/>
      <c r="H582" s="1352"/>
      <c r="I582" s="1352"/>
      <c r="J582" s="1352"/>
      <c r="K582" s="1352"/>
      <c r="L582" s="1352"/>
      <c r="M582" s="1352"/>
      <c r="N582" s="1352"/>
      <c r="O582" s="1352"/>
      <c r="P582" s="1352"/>
      <c r="Q582" s="1352"/>
      <c r="R582" s="1352"/>
      <c r="T582" s="22"/>
      <c r="U582" t="s">
        <v>86</v>
      </c>
      <c r="Z582" s="1352"/>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2"/>
      <c r="H583" s="1352"/>
      <c r="I583" s="1352"/>
      <c r="J583" s="1352"/>
      <c r="K583" s="1352"/>
      <c r="L583" s="1352"/>
      <c r="M583" s="1352"/>
      <c r="N583" s="1352"/>
      <c r="O583" s="1352"/>
      <c r="P583" s="1352"/>
      <c r="Q583" s="1352"/>
      <c r="R583" s="1352"/>
      <c r="T583" s="22"/>
      <c r="U583" t="s">
        <v>589</v>
      </c>
      <c r="Z583" s="1369"/>
      <c r="AA583" s="1369"/>
      <c r="AB583" s="1369"/>
      <c r="AC583" s="1369"/>
      <c r="AD583" s="1369"/>
      <c r="AE583" s="1369"/>
      <c r="AF583" s="1369"/>
      <c r="AG583" s="1369"/>
      <c r="AH583" s="1369"/>
      <c r="AI583" s="1369"/>
      <c r="AJ583" s="1369"/>
      <c r="AK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2"/>
      <c r="H584" s="1352"/>
      <c r="I584" s="1352"/>
      <c r="J584" s="1352"/>
      <c r="K584" s="1352"/>
      <c r="L584" s="1352"/>
      <c r="M584" s="1352"/>
      <c r="N584" s="1352"/>
      <c r="O584" s="1352"/>
      <c r="P584" s="1352"/>
      <c r="Q584" s="1352"/>
      <c r="R584" s="1352"/>
      <c r="T584" s="22"/>
      <c r="U584" t="s">
        <v>17</v>
      </c>
      <c r="Z584" s="1369"/>
      <c r="AA584" s="1369"/>
      <c r="AB584" s="1369"/>
      <c r="AC584" s="1369"/>
      <c r="AD584" s="1369"/>
      <c r="AE584" s="1369"/>
      <c r="AF584" s="1369"/>
      <c r="AG584" s="1369"/>
      <c r="AH584" s="1369"/>
      <c r="AI584" s="1369"/>
      <c r="AJ584" s="1369"/>
      <c r="AK584" s="136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372"/>
      <c r="H585" s="1372"/>
      <c r="I585" s="1372"/>
      <c r="J585" s="1372"/>
      <c r="K585" s="1372"/>
      <c r="L585" s="1372"/>
      <c r="O585" s="33" t="s">
        <v>207</v>
      </c>
      <c r="P585" s="1350"/>
      <c r="Q585" s="1350"/>
      <c r="R585" s="1350"/>
      <c r="T585" s="22"/>
      <c r="U585" t="s">
        <v>317</v>
      </c>
      <c r="Z585" s="1372"/>
      <c r="AA585" s="1372"/>
      <c r="AB585" s="1372"/>
      <c r="AC585" s="1372"/>
      <c r="AD585" s="1372"/>
      <c r="AE585" s="1372"/>
      <c r="AH585" s="33" t="s">
        <v>207</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2"/>
      <c r="I586" s="1352"/>
      <c r="J586" s="1352"/>
      <c r="K586" s="1352"/>
      <c r="L586" s="1352"/>
      <c r="M586" s="1352"/>
      <c r="N586" s="1352"/>
      <c r="O586" s="1352"/>
      <c r="P586" s="1352"/>
      <c r="Q586" s="1352"/>
      <c r="R586" s="1352"/>
      <c r="T586" s="22"/>
      <c r="U586" t="s">
        <v>18</v>
      </c>
      <c r="AA586" s="1352"/>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0" t="s">
        <v>678</v>
      </c>
      <c r="O587" s="1370"/>
      <c r="T587" s="22"/>
      <c r="U587" t="s">
        <v>20</v>
      </c>
      <c r="AG587" s="1370" t="s">
        <v>678</v>
      </c>
      <c r="AH587" s="1370"/>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1">
        <f>C556</f>
        <v>0</v>
      </c>
      <c r="H589" s="1351"/>
      <c r="I589" s="1351"/>
      <c r="J589" s="1351"/>
      <c r="K589" s="1351"/>
      <c r="L589" s="1351"/>
      <c r="M589" s="1351"/>
      <c r="N589" s="1351"/>
      <c r="O589" s="1351"/>
      <c r="P589" s="1351"/>
      <c r="Q589" s="1351"/>
      <c r="R589" s="1351"/>
      <c r="T589" s="55" t="s">
        <v>465</v>
      </c>
      <c r="U589" t="s">
        <v>472</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2"/>
      <c r="H591" s="1352"/>
      <c r="I591" s="1352"/>
      <c r="J591" s="1352"/>
      <c r="K591" s="1352"/>
      <c r="L591" s="1352"/>
      <c r="M591" s="1352"/>
      <c r="N591" s="1352"/>
      <c r="O591" s="1352"/>
      <c r="P591" s="1352"/>
      <c r="Q591" s="1352"/>
      <c r="R591" s="1352"/>
      <c r="T591" s="22"/>
      <c r="U591" t="s">
        <v>589</v>
      </c>
      <c r="Z591" s="1369"/>
      <c r="AA591" s="1369"/>
      <c r="AB591" s="1369"/>
      <c r="AC591" s="1369"/>
      <c r="AD591" s="1369"/>
      <c r="AE591" s="1369"/>
      <c r="AF591" s="1369"/>
      <c r="AG591" s="1369"/>
      <c r="AH591" s="1369"/>
      <c r="AI591" s="1369"/>
      <c r="AJ591" s="1369"/>
      <c r="AK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2"/>
      <c r="H592" s="1352"/>
      <c r="I592" s="1352"/>
      <c r="J592" s="1352"/>
      <c r="K592" s="1352"/>
      <c r="L592" s="1352"/>
      <c r="M592" s="1352"/>
      <c r="N592" s="1352"/>
      <c r="O592" s="1352"/>
      <c r="P592" s="1352"/>
      <c r="Q592" s="1352"/>
      <c r="R592" s="1352"/>
      <c r="T592" s="22"/>
      <c r="U592" t="s">
        <v>17</v>
      </c>
      <c r="Z592" s="1369"/>
      <c r="AA592" s="1369"/>
      <c r="AB592" s="1369"/>
      <c r="AC592" s="1369"/>
      <c r="AD592" s="1369"/>
      <c r="AE592" s="1369"/>
      <c r="AF592" s="1369"/>
      <c r="AG592" s="1369"/>
      <c r="AH592" s="1369"/>
      <c r="AI592" s="1369"/>
      <c r="AJ592" s="1369"/>
      <c r="AK592" s="136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372"/>
      <c r="H593" s="1372"/>
      <c r="I593" s="1372"/>
      <c r="J593" s="1372"/>
      <c r="K593" s="1372"/>
      <c r="L593" s="1372"/>
      <c r="M593"/>
      <c r="N593"/>
      <c r="O593" s="33" t="s">
        <v>207</v>
      </c>
      <c r="P593" s="1350"/>
      <c r="Q593" s="1350"/>
      <c r="R593" s="1350"/>
      <c r="S593"/>
      <c r="T593" s="22"/>
      <c r="U593" t="s">
        <v>317</v>
      </c>
      <c r="V593"/>
      <c r="W593"/>
      <c r="X593"/>
      <c r="Y593"/>
      <c r="Z593" s="1372"/>
      <c r="AA593" s="1372"/>
      <c r="AB593" s="1372"/>
      <c r="AC593" s="1372"/>
      <c r="AD593" s="1372"/>
      <c r="AE593" s="1372"/>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0" t="s">
        <v>678</v>
      </c>
      <c r="O595" s="1370"/>
      <c r="P595"/>
      <c r="Q595"/>
      <c r="R595"/>
      <c r="S595"/>
      <c r="T595" s="22"/>
      <c r="U595" t="s">
        <v>20</v>
      </c>
      <c r="V595"/>
      <c r="W595"/>
      <c r="X595"/>
      <c r="Y595"/>
      <c r="Z595"/>
      <c r="AA595"/>
      <c r="AB595"/>
      <c r="AC595"/>
      <c r="AD595"/>
      <c r="AE595"/>
      <c r="AF595"/>
      <c r="AG595" s="1370" t="s">
        <v>678</v>
      </c>
      <c r="AH595" s="1370"/>
      <c r="AI595"/>
      <c r="AJ595"/>
      <c r="AK595"/>
      <c r="AL595"/>
      <c r="AM595"/>
      <c r="AN595"/>
      <c r="AO595"/>
      <c r="AP595"/>
      <c r="AQ595"/>
      <c r="AR595"/>
      <c r="AS595"/>
      <c r="AT595"/>
      <c r="AU595"/>
      <c r="AV595"/>
      <c r="AW595"/>
      <c r="AX595"/>
      <c r="AY595"/>
      <c r="BA595" s="4" t="s">
        <v>325</v>
      </c>
      <c r="BB595" s="3"/>
      <c r="BC595" s="3"/>
      <c r="BD595" s="3"/>
      <c r="BE595" s="121" t="s">
        <v>483</v>
      </c>
      <c r="BF595" s="122"/>
      <c r="BG595" s="1437"/>
      <c r="BH595" s="1438"/>
      <c r="BI595" s="121" t="s">
        <v>484</v>
      </c>
      <c r="BJ595" s="122"/>
      <c r="BK595" s="1437"/>
      <c r="BL595" s="1438"/>
      <c r="BM595" s="3"/>
      <c r="BN595" s="1481" t="s">
        <v>642</v>
      </c>
      <c r="BO595" s="1482"/>
      <c r="BP595" s="1482"/>
      <c r="BQ595" s="1482"/>
      <c r="BR595" s="1483"/>
      <c r="BS595" s="1446" t="s">
        <v>326</v>
      </c>
      <c r="BT595" s="1446"/>
      <c r="BU595" s="1446"/>
      <c r="BV595" s="1446"/>
      <c r="BW595" s="1446"/>
      <c r="BX595" s="1446" t="s">
        <v>164</v>
      </c>
      <c r="BY595" s="1446"/>
      <c r="BZ595" s="1446"/>
      <c r="CA595" s="1446"/>
      <c r="CB595" s="1446"/>
      <c r="CC595" s="1446" t="s">
        <v>165</v>
      </c>
      <c r="CD595" s="1446"/>
      <c r="CE595" s="1446"/>
      <c r="CF595" s="1446"/>
      <c r="CG595" s="1446"/>
      <c r="CH595" s="1446" t="s">
        <v>469</v>
      </c>
      <c r="CI595" s="1446"/>
      <c r="CJ595" s="1446"/>
      <c r="CK595" s="1446"/>
      <c r="CL595" s="1446"/>
      <c r="CM595" s="1446" t="s">
        <v>30</v>
      </c>
      <c r="CN595" s="1446"/>
      <c r="CO595" s="1446"/>
      <c r="CP595" s="1446"/>
      <c r="CQ595" s="1446"/>
      <c r="CR595" s="89"/>
      <c r="CS595" s="1446" t="s">
        <v>642</v>
      </c>
      <c r="CT595" s="1446"/>
      <c r="CU595" s="1446"/>
      <c r="CV595" s="1446"/>
      <c r="CW595" s="1446"/>
      <c r="CX595" s="1446" t="s">
        <v>326</v>
      </c>
      <c r="CY595" s="1446"/>
      <c r="CZ595" s="1446"/>
      <c r="DA595" s="1446"/>
      <c r="DB595" s="1446"/>
      <c r="DC595" s="1446" t="s">
        <v>164</v>
      </c>
      <c r="DD595" s="1446"/>
      <c r="DE595" s="1446"/>
      <c r="DF595" s="1446"/>
      <c r="DG595" s="1446"/>
      <c r="DH595" s="1446" t="s">
        <v>165</v>
      </c>
      <c r="DI595" s="1446"/>
      <c r="DJ595" s="1446"/>
      <c r="DK595" s="1446"/>
      <c r="DL595" s="1446"/>
      <c r="DM595" s="1446" t="s">
        <v>469</v>
      </c>
      <c r="DN595" s="1446"/>
      <c r="DO595" s="1446"/>
      <c r="DP595" s="1446"/>
      <c r="DQ595" s="1446"/>
      <c r="DR595" s="1446" t="s">
        <v>30</v>
      </c>
      <c r="DS595" s="1446"/>
      <c r="DT595" s="1446"/>
      <c r="DU595" s="1446"/>
      <c r="DV595" s="1446"/>
      <c r="DX595" s="1446" t="s">
        <v>642</v>
      </c>
      <c r="DY595" s="1446"/>
      <c r="DZ595" s="1446"/>
      <c r="EA595" s="1446"/>
      <c r="EB595" s="1446"/>
      <c r="EC595" s="1446" t="s">
        <v>326</v>
      </c>
      <c r="ED595" s="1446"/>
      <c r="EE595" s="1446"/>
      <c r="EF595" s="1446"/>
      <c r="EG595" s="1446"/>
      <c r="EH595" s="1446" t="s">
        <v>164</v>
      </c>
      <c r="EI595" s="1446"/>
      <c r="EJ595" s="1446"/>
      <c r="EK595" s="1446"/>
      <c r="EL595" s="1446"/>
      <c r="EM595" s="1446" t="s">
        <v>165</v>
      </c>
      <c r="EN595" s="1446"/>
      <c r="EO595" s="1446"/>
      <c r="EP595" s="1446"/>
      <c r="EQ595" s="1446"/>
      <c r="ER595" s="1446" t="s">
        <v>469</v>
      </c>
      <c r="ES595" s="1446"/>
      <c r="ET595" s="1446"/>
      <c r="EU595" s="1446"/>
      <c r="EV595" s="1446"/>
      <c r="EW595" s="1446" t="s">
        <v>30</v>
      </c>
      <c r="EX595" s="1446"/>
      <c r="EY595" s="1446"/>
      <c r="EZ595" s="1446"/>
      <c r="FA595" s="144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1">
        <f t="shared" ref="BE596:BE620" si="1">IF(AND(AC714&lt;=0.5,AC714&gt;=0.36),1,0)</f>
        <v>0</v>
      </c>
      <c r="BF596" s="1423"/>
      <c r="BG596" s="1437">
        <f t="shared" ref="BG596:BG620" si="2">IF(BE596=1,G714,0)</f>
        <v>0</v>
      </c>
      <c r="BH596" s="1438"/>
      <c r="BI596" s="1421">
        <f t="shared" ref="BI596:BI620" si="3">IF(AND(AC714&lt;=0.35,AC714&gt;0),1,0)</f>
        <v>1</v>
      </c>
      <c r="BJ596" s="1423"/>
      <c r="BK596" s="1437">
        <f t="shared" ref="BK596:BK620" si="4">IF(BI596=1,G714,0)</f>
        <v>4</v>
      </c>
      <c r="BL596" s="1438"/>
      <c r="BM596" s="3"/>
      <c r="BN596" s="1415">
        <f t="shared" ref="BN596:BN620" si="5">IF(B714="SRO/Studio",G714,0)</f>
        <v>0</v>
      </c>
      <c r="BO596" s="1416"/>
      <c r="BP596" s="1416"/>
      <c r="BQ596" s="1416"/>
      <c r="BR596" s="1417"/>
      <c r="BS596" s="1424">
        <f t="shared" ref="BS596:BS620" si="6">IF(B714="1 Bedroom",G714,0)</f>
        <v>4</v>
      </c>
      <c r="BT596" s="1424"/>
      <c r="BU596" s="1424"/>
      <c r="BV596" s="1424"/>
      <c r="BW596" s="1424"/>
      <c r="BX596" s="1424">
        <f t="shared" ref="BX596:BX620" si="7">IF(B714="2 Bedrooms",G714,0)</f>
        <v>0</v>
      </c>
      <c r="BY596" s="1424"/>
      <c r="BZ596" s="1424"/>
      <c r="CA596" s="1424"/>
      <c r="CB596" s="1424"/>
      <c r="CC596" s="1424">
        <f t="shared" ref="CC596:CC620" si="8">IF(B714="3 Bedrooms",G714,0)</f>
        <v>0</v>
      </c>
      <c r="CD596" s="1424"/>
      <c r="CE596" s="1424"/>
      <c r="CF596" s="1424"/>
      <c r="CG596" s="1424"/>
      <c r="CH596" s="1424">
        <f t="shared" ref="CH596:CH620" si="9">IF(B714="4 Bedrooms",G714,0)</f>
        <v>0</v>
      </c>
      <c r="CI596" s="1424"/>
      <c r="CJ596" s="1424"/>
      <c r="CK596" s="1424"/>
      <c r="CL596" s="1424"/>
      <c r="CM596" s="1424">
        <f t="shared" ref="CM596:CM620" si="10">IF(B714="5 Bedrooms",G714,0)</f>
        <v>0</v>
      </c>
      <c r="CN596" s="1424"/>
      <c r="CO596" s="1424"/>
      <c r="CP596" s="1424"/>
      <c r="CQ596" s="1424"/>
      <c r="CR596" s="6"/>
      <c r="CS596" s="1425">
        <f t="shared" ref="CS596:CS620" si="11">IF(AND(B714="SRO/Studio",AC714&lt;=0.3),G714,0)</f>
        <v>0</v>
      </c>
      <c r="CT596" s="1425"/>
      <c r="CU596" s="1425"/>
      <c r="CV596" s="1425"/>
      <c r="CW596" s="1425"/>
      <c r="CX596" s="1425">
        <f t="shared" ref="CX596:CX620" si="12">IF(AND(B714="1 Bedroom",AC714&lt;=0.3),G714,0)</f>
        <v>4</v>
      </c>
      <c r="CY596" s="1425"/>
      <c r="CZ596" s="1425"/>
      <c r="DA596" s="1425"/>
      <c r="DB596" s="1425"/>
      <c r="DC596" s="1425">
        <f t="shared" ref="DC596:DC620" si="13">IF(AND(B714="2 Bedrooms",AC714&lt;=0.3),G714,0)</f>
        <v>0</v>
      </c>
      <c r="DD596" s="1425"/>
      <c r="DE596" s="1425"/>
      <c r="DF596" s="1425"/>
      <c r="DG596" s="1425"/>
      <c r="DH596" s="1425">
        <f t="shared" ref="DH596:DH620" si="14">IF(AND(B714="3 Bedrooms",AC714&lt;=0.3),G714,0)</f>
        <v>0</v>
      </c>
      <c r="DI596" s="1425"/>
      <c r="DJ596" s="1425"/>
      <c r="DK596" s="1425"/>
      <c r="DL596" s="1425"/>
      <c r="DM596" s="1425">
        <f t="shared" ref="DM596:DM620" si="15">IF(AND(B714="4 Bedrooms",AC714&lt;=0.3),G714,0)</f>
        <v>0</v>
      </c>
      <c r="DN596" s="1425"/>
      <c r="DO596" s="1425"/>
      <c r="DP596" s="1425"/>
      <c r="DQ596" s="1425"/>
      <c r="DR596" s="1425">
        <f t="shared" ref="DR596:DR620" si="16">IF(AND(B714="5 Bedrooms",AC714&lt;=0.3),G714,0)</f>
        <v>0</v>
      </c>
      <c r="DS596" s="1425"/>
      <c r="DT596" s="1425"/>
      <c r="DU596" s="1425"/>
      <c r="DV596" s="1425"/>
      <c r="DX596" s="1421" t="str">
        <f t="shared" ref="DX596:DX620" si="17">IF(BN596&gt;0,O714," ")</f>
        <v xml:space="preserve"> </v>
      </c>
      <c r="DY596" s="1422"/>
      <c r="DZ596" s="1422"/>
      <c r="EA596" s="1422"/>
      <c r="EB596" s="1423"/>
      <c r="EC596" s="1421">
        <f t="shared" ref="EC596:EC620" si="18">IF(BS596&gt;0,O714," ")</f>
        <v>521</v>
      </c>
      <c r="ED596" s="1422"/>
      <c r="EE596" s="1422"/>
      <c r="EF596" s="1422"/>
      <c r="EG596" s="1423"/>
      <c r="EH596" s="1421" t="str">
        <f t="shared" ref="EH596:EH620" si="19">IF(BX596&gt;0,O714," ")</f>
        <v xml:space="preserve"> </v>
      </c>
      <c r="EI596" s="1422"/>
      <c r="EJ596" s="1422"/>
      <c r="EK596" s="1422"/>
      <c r="EL596" s="1423"/>
      <c r="EM596" s="1421" t="str">
        <f t="shared" ref="EM596:EM620" si="20">IF(CC596&gt;0,O714," ")</f>
        <v xml:space="preserve"> </v>
      </c>
      <c r="EN596" s="1422"/>
      <c r="EO596" s="1422"/>
      <c r="EP596" s="1422"/>
      <c r="EQ596" s="1423"/>
      <c r="ER596" s="1421" t="str">
        <f t="shared" ref="ER596:ER620" si="21">IF(CH596&gt;0,O714," ")</f>
        <v xml:space="preserve"> </v>
      </c>
      <c r="ES596" s="1422"/>
      <c r="ET596" s="1422"/>
      <c r="EU596" s="1422"/>
      <c r="EV596" s="1423"/>
      <c r="EW596" s="1421" t="str">
        <f t="shared" ref="EW596:EW620" si="22">IF(CM596&gt;0,O714," ")</f>
        <v xml:space="preserve"> </v>
      </c>
      <c r="EX596" s="1422"/>
      <c r="EY596" s="1422"/>
      <c r="EZ596" s="1422"/>
      <c r="FA596" s="1423"/>
    </row>
    <row r="597" spans="1:157" s="4" customFormat="1" ht="12.95" customHeight="1">
      <c r="A597" s="55" t="s">
        <v>470</v>
      </c>
      <c r="B597" t="s">
        <v>472</v>
      </c>
      <c r="C597"/>
      <c r="D597"/>
      <c r="E597"/>
      <c r="F597"/>
      <c r="G597" s="1351">
        <f>C558</f>
        <v>0</v>
      </c>
      <c r="H597" s="1351"/>
      <c r="I597" s="1351"/>
      <c r="J597" s="1351"/>
      <c r="K597" s="1351"/>
      <c r="L597" s="1351"/>
      <c r="M597" s="1351"/>
      <c r="N597" s="1351"/>
      <c r="O597" s="1351"/>
      <c r="P597" s="1351"/>
      <c r="Q597" s="1351"/>
      <c r="R597" s="1351"/>
      <c r="S597"/>
      <c r="T597" s="55"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21">
        <f t="shared" si="1"/>
        <v>1</v>
      </c>
      <c r="BF597" s="1423"/>
      <c r="BG597" s="1437">
        <f t="shared" si="2"/>
        <v>14</v>
      </c>
      <c r="BH597" s="1438"/>
      <c r="BI597" s="1421">
        <f t="shared" si="3"/>
        <v>0</v>
      </c>
      <c r="BJ597" s="1423"/>
      <c r="BK597" s="1437">
        <f t="shared" si="4"/>
        <v>0</v>
      </c>
      <c r="BL597" s="1438"/>
      <c r="BM597" s="3"/>
      <c r="BN597" s="1415">
        <f t="shared" si="5"/>
        <v>0</v>
      </c>
      <c r="BO597" s="1416"/>
      <c r="BP597" s="1416"/>
      <c r="BQ597" s="1416"/>
      <c r="BR597" s="1417"/>
      <c r="BS597" s="1424">
        <f t="shared" si="6"/>
        <v>14</v>
      </c>
      <c r="BT597" s="1424"/>
      <c r="BU597" s="1424"/>
      <c r="BV597" s="1424"/>
      <c r="BW597" s="1424"/>
      <c r="BX597" s="1424">
        <f t="shared" si="7"/>
        <v>0</v>
      </c>
      <c r="BY597" s="1424"/>
      <c r="BZ597" s="1424"/>
      <c r="CA597" s="1424"/>
      <c r="CB597" s="1424"/>
      <c r="CC597" s="1424">
        <f t="shared" si="8"/>
        <v>0</v>
      </c>
      <c r="CD597" s="1424"/>
      <c r="CE597" s="1424"/>
      <c r="CF597" s="1424"/>
      <c r="CG597" s="1424"/>
      <c r="CH597" s="1424">
        <f t="shared" si="9"/>
        <v>0</v>
      </c>
      <c r="CI597" s="1424"/>
      <c r="CJ597" s="1424"/>
      <c r="CK597" s="1424"/>
      <c r="CL597" s="1424"/>
      <c r="CM597" s="1424">
        <f t="shared" si="10"/>
        <v>0</v>
      </c>
      <c r="CN597" s="1424"/>
      <c r="CO597" s="1424"/>
      <c r="CP597" s="1424"/>
      <c r="CQ597" s="1424"/>
      <c r="CR597" s="6"/>
      <c r="CS597" s="1425">
        <f t="shared" si="11"/>
        <v>0</v>
      </c>
      <c r="CT597" s="1425"/>
      <c r="CU597" s="1425"/>
      <c r="CV597" s="1425"/>
      <c r="CW597" s="1425"/>
      <c r="CX597" s="1425">
        <f t="shared" si="12"/>
        <v>0</v>
      </c>
      <c r="CY597" s="1425"/>
      <c r="CZ597" s="1425"/>
      <c r="DA597" s="1425"/>
      <c r="DB597" s="1425"/>
      <c r="DC597" s="1425">
        <f t="shared" si="13"/>
        <v>0</v>
      </c>
      <c r="DD597" s="1425"/>
      <c r="DE597" s="1425"/>
      <c r="DF597" s="1425"/>
      <c r="DG597" s="1425"/>
      <c r="DH597" s="1425">
        <f t="shared" si="14"/>
        <v>0</v>
      </c>
      <c r="DI597" s="1425"/>
      <c r="DJ597" s="1425"/>
      <c r="DK597" s="1425"/>
      <c r="DL597" s="1425"/>
      <c r="DM597" s="1425">
        <f t="shared" si="15"/>
        <v>0</v>
      </c>
      <c r="DN597" s="1425"/>
      <c r="DO597" s="1425"/>
      <c r="DP597" s="1425"/>
      <c r="DQ597" s="1425"/>
      <c r="DR597" s="1425">
        <f t="shared" si="16"/>
        <v>0</v>
      </c>
      <c r="DS597" s="1425"/>
      <c r="DT597" s="1425"/>
      <c r="DU597" s="1425"/>
      <c r="DV597" s="1425"/>
      <c r="DX597" s="1421" t="str">
        <f t="shared" si="17"/>
        <v xml:space="preserve"> </v>
      </c>
      <c r="DY597" s="1422"/>
      <c r="DZ597" s="1422"/>
      <c r="EA597" s="1422"/>
      <c r="EB597" s="1423"/>
      <c r="EC597" s="1421">
        <f t="shared" si="18"/>
        <v>901</v>
      </c>
      <c r="ED597" s="1422"/>
      <c r="EE597" s="1422"/>
      <c r="EF597" s="1422"/>
      <c r="EG597" s="1423"/>
      <c r="EH597" s="1421" t="str">
        <f t="shared" si="19"/>
        <v xml:space="preserve"> </v>
      </c>
      <c r="EI597" s="1422"/>
      <c r="EJ597" s="1422"/>
      <c r="EK597" s="1422"/>
      <c r="EL597" s="1423"/>
      <c r="EM597" s="1421" t="str">
        <f t="shared" si="20"/>
        <v xml:space="preserve"> </v>
      </c>
      <c r="EN597" s="1422"/>
      <c r="EO597" s="1422"/>
      <c r="EP597" s="1422"/>
      <c r="EQ597" s="1423"/>
      <c r="ER597" s="1421" t="str">
        <f t="shared" si="21"/>
        <v xml:space="preserve"> </v>
      </c>
      <c r="ES597" s="1422"/>
      <c r="ET597" s="1422"/>
      <c r="EU597" s="1422"/>
      <c r="EV597" s="1423"/>
      <c r="EW597" s="1421" t="str">
        <f t="shared" si="22"/>
        <v xml:space="preserve"> </v>
      </c>
      <c r="EX597" s="1422"/>
      <c r="EY597" s="1422"/>
      <c r="EZ597" s="1422"/>
      <c r="FA597" s="1423"/>
    </row>
    <row r="598" spans="1:157" ht="12.9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21">
        <f t="shared" si="1"/>
        <v>0</v>
      </c>
      <c r="BF598" s="1423"/>
      <c r="BG598" s="1437">
        <f t="shared" si="2"/>
        <v>0</v>
      </c>
      <c r="BH598" s="1438"/>
      <c r="BI598" s="1421">
        <f t="shared" si="3"/>
        <v>0</v>
      </c>
      <c r="BJ598" s="1423"/>
      <c r="BK598" s="1437">
        <f t="shared" si="4"/>
        <v>0</v>
      </c>
      <c r="BL598" s="1438"/>
      <c r="BM598" s="3"/>
      <c r="BN598" s="1415">
        <f t="shared" si="5"/>
        <v>0</v>
      </c>
      <c r="BO598" s="1416"/>
      <c r="BP598" s="1416"/>
      <c r="BQ598" s="1416"/>
      <c r="BR598" s="1417"/>
      <c r="BS598" s="1424">
        <f t="shared" si="6"/>
        <v>21</v>
      </c>
      <c r="BT598" s="1424"/>
      <c r="BU598" s="1424"/>
      <c r="BV598" s="1424"/>
      <c r="BW598" s="1424"/>
      <c r="BX598" s="1424">
        <f t="shared" si="7"/>
        <v>0</v>
      </c>
      <c r="BY598" s="1424"/>
      <c r="BZ598" s="1424"/>
      <c r="CA598" s="1424"/>
      <c r="CB598" s="1424"/>
      <c r="CC598" s="1424">
        <f t="shared" si="8"/>
        <v>0</v>
      </c>
      <c r="CD598" s="1424"/>
      <c r="CE598" s="1424"/>
      <c r="CF598" s="1424"/>
      <c r="CG598" s="1424"/>
      <c r="CH598" s="1424">
        <f t="shared" si="9"/>
        <v>0</v>
      </c>
      <c r="CI598" s="1424"/>
      <c r="CJ598" s="1424"/>
      <c r="CK598" s="1424"/>
      <c r="CL598" s="1424"/>
      <c r="CM598" s="1424">
        <f t="shared" si="10"/>
        <v>0</v>
      </c>
      <c r="CN598" s="1424"/>
      <c r="CO598" s="1424"/>
      <c r="CP598" s="1424"/>
      <c r="CQ598" s="1424"/>
      <c r="CR598" s="6"/>
      <c r="CS598" s="1425">
        <f t="shared" si="11"/>
        <v>0</v>
      </c>
      <c r="CT598" s="1425"/>
      <c r="CU598" s="1425"/>
      <c r="CV598" s="1425"/>
      <c r="CW598" s="1425"/>
      <c r="CX598" s="1425">
        <f t="shared" si="12"/>
        <v>0</v>
      </c>
      <c r="CY598" s="1425"/>
      <c r="CZ598" s="1425"/>
      <c r="DA598" s="1425"/>
      <c r="DB598" s="1425"/>
      <c r="DC598" s="1425">
        <f t="shared" si="13"/>
        <v>0</v>
      </c>
      <c r="DD598" s="1425"/>
      <c r="DE598" s="1425"/>
      <c r="DF598" s="1425"/>
      <c r="DG598" s="1425"/>
      <c r="DH598" s="1425">
        <f t="shared" si="14"/>
        <v>0</v>
      </c>
      <c r="DI598" s="1425"/>
      <c r="DJ598" s="1425"/>
      <c r="DK598" s="1425"/>
      <c r="DL598" s="1425"/>
      <c r="DM598" s="1425">
        <f t="shared" si="15"/>
        <v>0</v>
      </c>
      <c r="DN598" s="1425"/>
      <c r="DO598" s="1425"/>
      <c r="DP598" s="1425"/>
      <c r="DQ598" s="1425"/>
      <c r="DR598" s="1425">
        <f t="shared" si="16"/>
        <v>0</v>
      </c>
      <c r="DS598" s="1425"/>
      <c r="DT598" s="1425"/>
      <c r="DU598" s="1425"/>
      <c r="DV598" s="1425"/>
      <c r="DX598" s="1421" t="str">
        <f t="shared" si="17"/>
        <v xml:space="preserve"> </v>
      </c>
      <c r="DY598" s="1422"/>
      <c r="DZ598" s="1422"/>
      <c r="EA598" s="1422"/>
      <c r="EB598" s="1423"/>
      <c r="EC598" s="1421">
        <f t="shared" si="18"/>
        <v>1281</v>
      </c>
      <c r="ED598" s="1422"/>
      <c r="EE598" s="1422"/>
      <c r="EF598" s="1422"/>
      <c r="EG598" s="1423"/>
      <c r="EH598" s="1421" t="str">
        <f t="shared" si="19"/>
        <v xml:space="preserve"> </v>
      </c>
      <c r="EI598" s="1422"/>
      <c r="EJ598" s="1422"/>
      <c r="EK598" s="1422"/>
      <c r="EL598" s="1423"/>
      <c r="EM598" s="1421" t="str">
        <f t="shared" si="20"/>
        <v xml:space="preserve"> </v>
      </c>
      <c r="EN598" s="1422"/>
      <c r="EO598" s="1422"/>
      <c r="EP598" s="1422"/>
      <c r="EQ598" s="1423"/>
      <c r="ER598" s="1421" t="str">
        <f t="shared" si="21"/>
        <v xml:space="preserve"> </v>
      </c>
      <c r="ES598" s="1422"/>
      <c r="ET598" s="1422"/>
      <c r="EU598" s="1422"/>
      <c r="EV598" s="1423"/>
      <c r="EW598" s="1421" t="str">
        <f t="shared" si="22"/>
        <v xml:space="preserve"> </v>
      </c>
      <c r="EX598" s="1422"/>
      <c r="EY598" s="1422"/>
      <c r="EZ598" s="1422"/>
      <c r="FA598" s="1423"/>
    </row>
    <row r="599" spans="1:157" ht="12.95" customHeight="1">
      <c r="A599" s="22"/>
      <c r="B599" t="s">
        <v>589</v>
      </c>
      <c r="G599" s="1352"/>
      <c r="H599" s="1352"/>
      <c r="I599" s="1352"/>
      <c r="J599" s="1352"/>
      <c r="K599" s="1352"/>
      <c r="L599" s="1352"/>
      <c r="M599" s="1352"/>
      <c r="N599" s="1352"/>
      <c r="O599" s="1352"/>
      <c r="P599" s="1352"/>
      <c r="Q599" s="1352"/>
      <c r="R599" s="1352"/>
      <c r="T599" s="22"/>
      <c r="U599" t="s">
        <v>589</v>
      </c>
      <c r="Z599" s="1369"/>
      <c r="AA599" s="1369"/>
      <c r="AB599" s="1369"/>
      <c r="AC599" s="1369"/>
      <c r="AD599" s="1369"/>
      <c r="AE599" s="1369"/>
      <c r="AF599" s="1369"/>
      <c r="AG599" s="1369"/>
      <c r="AH599" s="1369"/>
      <c r="AI599" s="1369"/>
      <c r="AJ599" s="1369"/>
      <c r="AK599" s="1369"/>
      <c r="BA599" s="4" t="s">
        <v>166</v>
      </c>
      <c r="BB599" s="3"/>
      <c r="BC599" s="3"/>
      <c r="BD599" s="3"/>
      <c r="BE599" s="1421">
        <f t="shared" si="1"/>
        <v>0</v>
      </c>
      <c r="BF599" s="1423"/>
      <c r="BG599" s="1437">
        <f t="shared" si="2"/>
        <v>0</v>
      </c>
      <c r="BH599" s="1438"/>
      <c r="BI599" s="1421">
        <f t="shared" si="3"/>
        <v>0</v>
      </c>
      <c r="BJ599" s="1423"/>
      <c r="BK599" s="1437">
        <f t="shared" si="4"/>
        <v>0</v>
      </c>
      <c r="BL599" s="1438"/>
      <c r="BM599" s="3"/>
      <c r="BN599" s="1415">
        <f t="shared" si="5"/>
        <v>0</v>
      </c>
      <c r="BO599" s="1416"/>
      <c r="BP599" s="1416"/>
      <c r="BQ599" s="1416"/>
      <c r="BR599" s="1417"/>
      <c r="BS599" s="1424">
        <f t="shared" si="6"/>
        <v>1</v>
      </c>
      <c r="BT599" s="1424"/>
      <c r="BU599" s="1424"/>
      <c r="BV599" s="1424"/>
      <c r="BW599" s="1424"/>
      <c r="BX599" s="1424">
        <f t="shared" si="7"/>
        <v>0</v>
      </c>
      <c r="BY599" s="1424"/>
      <c r="BZ599" s="1424"/>
      <c r="CA599" s="1424"/>
      <c r="CB599" s="1424"/>
      <c r="CC599" s="1424">
        <f t="shared" si="8"/>
        <v>0</v>
      </c>
      <c r="CD599" s="1424"/>
      <c r="CE599" s="1424"/>
      <c r="CF599" s="1424"/>
      <c r="CG599" s="1424"/>
      <c r="CH599" s="1424">
        <f t="shared" si="9"/>
        <v>0</v>
      </c>
      <c r="CI599" s="1424"/>
      <c r="CJ599" s="1424"/>
      <c r="CK599" s="1424"/>
      <c r="CL599" s="1424"/>
      <c r="CM599" s="1424">
        <f t="shared" si="10"/>
        <v>0</v>
      </c>
      <c r="CN599" s="1424"/>
      <c r="CO599" s="1424"/>
      <c r="CP599" s="1424"/>
      <c r="CQ599" s="1424"/>
      <c r="CR599" s="6"/>
      <c r="CS599" s="1425">
        <f t="shared" si="11"/>
        <v>0</v>
      </c>
      <c r="CT599" s="1425"/>
      <c r="CU599" s="1425"/>
      <c r="CV599" s="1425"/>
      <c r="CW599" s="1425"/>
      <c r="CX599" s="1425">
        <f t="shared" si="12"/>
        <v>0</v>
      </c>
      <c r="CY599" s="1425"/>
      <c r="CZ599" s="1425"/>
      <c r="DA599" s="1425"/>
      <c r="DB599" s="1425"/>
      <c r="DC599" s="1425">
        <f t="shared" si="13"/>
        <v>0</v>
      </c>
      <c r="DD599" s="1425"/>
      <c r="DE599" s="1425"/>
      <c r="DF599" s="1425"/>
      <c r="DG599" s="1425"/>
      <c r="DH599" s="1425">
        <f t="shared" si="14"/>
        <v>0</v>
      </c>
      <c r="DI599" s="1425"/>
      <c r="DJ599" s="1425"/>
      <c r="DK599" s="1425"/>
      <c r="DL599" s="1425"/>
      <c r="DM599" s="1425">
        <f t="shared" si="15"/>
        <v>0</v>
      </c>
      <c r="DN599" s="1425"/>
      <c r="DO599" s="1425"/>
      <c r="DP599" s="1425"/>
      <c r="DQ599" s="1425"/>
      <c r="DR599" s="1425">
        <f t="shared" si="16"/>
        <v>0</v>
      </c>
      <c r="DS599" s="1425"/>
      <c r="DT599" s="1425"/>
      <c r="DU599" s="1425"/>
      <c r="DV599" s="1425"/>
      <c r="DX599" s="1421" t="str">
        <f t="shared" si="17"/>
        <v xml:space="preserve"> </v>
      </c>
      <c r="DY599" s="1422"/>
      <c r="DZ599" s="1422"/>
      <c r="EA599" s="1422"/>
      <c r="EB599" s="1423"/>
      <c r="EC599" s="1421">
        <f t="shared" si="18"/>
        <v>1472</v>
      </c>
      <c r="ED599" s="1422"/>
      <c r="EE599" s="1422"/>
      <c r="EF599" s="1422"/>
      <c r="EG599" s="1423"/>
      <c r="EH599" s="1421" t="str">
        <f t="shared" si="19"/>
        <v xml:space="preserve"> </v>
      </c>
      <c r="EI599" s="1422"/>
      <c r="EJ599" s="1422"/>
      <c r="EK599" s="1422"/>
      <c r="EL599" s="1423"/>
      <c r="EM599" s="1421" t="str">
        <f t="shared" si="20"/>
        <v xml:space="preserve"> </v>
      </c>
      <c r="EN599" s="1422"/>
      <c r="EO599" s="1422"/>
      <c r="EP599" s="1422"/>
      <c r="EQ599" s="1423"/>
      <c r="ER599" s="1421" t="str">
        <f t="shared" si="21"/>
        <v xml:space="preserve"> </v>
      </c>
      <c r="ES599" s="1422"/>
      <c r="ET599" s="1422"/>
      <c r="EU599" s="1422"/>
      <c r="EV599" s="1423"/>
      <c r="EW599" s="1421" t="str">
        <f t="shared" si="22"/>
        <v xml:space="preserve"> </v>
      </c>
      <c r="EX599" s="1422"/>
      <c r="EY599" s="1422"/>
      <c r="EZ599" s="1422"/>
      <c r="FA599" s="1423"/>
    </row>
    <row r="600" spans="1:157" ht="12.95" customHeight="1">
      <c r="A600" s="22"/>
      <c r="B600" t="s">
        <v>17</v>
      </c>
      <c r="G600" s="1352"/>
      <c r="H600" s="1352"/>
      <c r="I600" s="1352"/>
      <c r="J600" s="1352"/>
      <c r="K600" s="1352"/>
      <c r="L600" s="1352"/>
      <c r="M600" s="1352"/>
      <c r="N600" s="1352"/>
      <c r="O600" s="1352"/>
      <c r="P600" s="1352"/>
      <c r="Q600" s="1352"/>
      <c r="R600" s="1352"/>
      <c r="T600" s="22"/>
      <c r="U600" t="s">
        <v>17</v>
      </c>
      <c r="Z600" s="1369"/>
      <c r="AA600" s="1369"/>
      <c r="AB600" s="1369"/>
      <c r="AC600" s="1369"/>
      <c r="AD600" s="1369"/>
      <c r="AE600" s="1369"/>
      <c r="AF600" s="1369"/>
      <c r="AG600" s="1369"/>
      <c r="AH600" s="1369"/>
      <c r="AI600" s="1369"/>
      <c r="AJ600" s="1369"/>
      <c r="AK600" s="1369"/>
      <c r="BA600" s="4" t="s">
        <v>30</v>
      </c>
      <c r="BB600" s="3"/>
      <c r="BC600" s="3"/>
      <c r="BD600" s="3"/>
      <c r="BE600" s="1421">
        <f t="shared" si="1"/>
        <v>0</v>
      </c>
      <c r="BF600" s="1423"/>
      <c r="BG600" s="1437">
        <f t="shared" si="2"/>
        <v>0</v>
      </c>
      <c r="BH600" s="1438"/>
      <c r="BI600" s="1421">
        <f t="shared" si="3"/>
        <v>1</v>
      </c>
      <c r="BJ600" s="1423"/>
      <c r="BK600" s="1437">
        <f t="shared" si="4"/>
        <v>2</v>
      </c>
      <c r="BL600" s="1438"/>
      <c r="BM600" s="3"/>
      <c r="BN600" s="1415">
        <f t="shared" si="5"/>
        <v>0</v>
      </c>
      <c r="BO600" s="1416"/>
      <c r="BP600" s="1416"/>
      <c r="BQ600" s="1416"/>
      <c r="BR600" s="1417"/>
      <c r="BS600" s="1424">
        <f t="shared" si="6"/>
        <v>0</v>
      </c>
      <c r="BT600" s="1424"/>
      <c r="BU600" s="1424"/>
      <c r="BV600" s="1424"/>
      <c r="BW600" s="1424"/>
      <c r="BX600" s="1424">
        <f t="shared" si="7"/>
        <v>2</v>
      </c>
      <c r="BY600" s="1424"/>
      <c r="BZ600" s="1424"/>
      <c r="CA600" s="1424"/>
      <c r="CB600" s="1424"/>
      <c r="CC600" s="1424">
        <f t="shared" si="8"/>
        <v>0</v>
      </c>
      <c r="CD600" s="1424"/>
      <c r="CE600" s="1424"/>
      <c r="CF600" s="1424"/>
      <c r="CG600" s="1424"/>
      <c r="CH600" s="1424">
        <f t="shared" si="9"/>
        <v>0</v>
      </c>
      <c r="CI600" s="1424"/>
      <c r="CJ600" s="1424"/>
      <c r="CK600" s="1424"/>
      <c r="CL600" s="1424"/>
      <c r="CM600" s="1424">
        <f t="shared" si="10"/>
        <v>0</v>
      </c>
      <c r="CN600" s="1424"/>
      <c r="CO600" s="1424"/>
      <c r="CP600" s="1424"/>
      <c r="CQ600" s="1424"/>
      <c r="CR600" s="6"/>
      <c r="CS600" s="1425">
        <f t="shared" si="11"/>
        <v>0</v>
      </c>
      <c r="CT600" s="1425"/>
      <c r="CU600" s="1425"/>
      <c r="CV600" s="1425"/>
      <c r="CW600" s="1425"/>
      <c r="CX600" s="1425">
        <f t="shared" si="12"/>
        <v>0</v>
      </c>
      <c r="CY600" s="1425"/>
      <c r="CZ600" s="1425"/>
      <c r="DA600" s="1425"/>
      <c r="DB600" s="1425"/>
      <c r="DC600" s="1425">
        <f t="shared" si="13"/>
        <v>2</v>
      </c>
      <c r="DD600" s="1425"/>
      <c r="DE600" s="1425"/>
      <c r="DF600" s="1425"/>
      <c r="DG600" s="1425"/>
      <c r="DH600" s="1425">
        <f t="shared" si="14"/>
        <v>0</v>
      </c>
      <c r="DI600" s="1425"/>
      <c r="DJ600" s="1425"/>
      <c r="DK600" s="1425"/>
      <c r="DL600" s="1425"/>
      <c r="DM600" s="1425">
        <f t="shared" si="15"/>
        <v>0</v>
      </c>
      <c r="DN600" s="1425"/>
      <c r="DO600" s="1425"/>
      <c r="DP600" s="1425"/>
      <c r="DQ600" s="1425"/>
      <c r="DR600" s="1425">
        <f t="shared" si="16"/>
        <v>0</v>
      </c>
      <c r="DS600" s="1425"/>
      <c r="DT600" s="1425"/>
      <c r="DU600" s="1425"/>
      <c r="DV600" s="1425"/>
      <c r="DX600" s="1421" t="str">
        <f t="shared" si="17"/>
        <v xml:space="preserve"> </v>
      </c>
      <c r="DY600" s="1422"/>
      <c r="DZ600" s="1422"/>
      <c r="EA600" s="1422"/>
      <c r="EB600" s="1423"/>
      <c r="EC600" s="1421" t="str">
        <f t="shared" si="18"/>
        <v xml:space="preserve"> </v>
      </c>
      <c r="ED600" s="1422"/>
      <c r="EE600" s="1422"/>
      <c r="EF600" s="1422"/>
      <c r="EG600" s="1423"/>
      <c r="EH600" s="1421">
        <f t="shared" si="19"/>
        <v>624</v>
      </c>
      <c r="EI600" s="1422"/>
      <c r="EJ600" s="1422"/>
      <c r="EK600" s="1422"/>
      <c r="EL600" s="1423"/>
      <c r="EM600" s="1421" t="str">
        <f t="shared" si="20"/>
        <v xml:space="preserve"> </v>
      </c>
      <c r="EN600" s="1422"/>
      <c r="EO600" s="1422"/>
      <c r="EP600" s="1422"/>
      <c r="EQ600" s="1423"/>
      <c r="ER600" s="1421" t="str">
        <f t="shared" si="21"/>
        <v xml:space="preserve"> </v>
      </c>
      <c r="ES600" s="1422"/>
      <c r="ET600" s="1422"/>
      <c r="EU600" s="1422"/>
      <c r="EV600" s="1423"/>
      <c r="EW600" s="1421" t="str">
        <f t="shared" si="22"/>
        <v xml:space="preserve"> </v>
      </c>
      <c r="EX600" s="1422"/>
      <c r="EY600" s="1422"/>
      <c r="EZ600" s="1422"/>
      <c r="FA600" s="1423"/>
    </row>
    <row r="601" spans="1:157" ht="12.95" customHeight="1">
      <c r="A601" s="22"/>
      <c r="B601" t="s">
        <v>317</v>
      </c>
      <c r="G601" s="1372"/>
      <c r="H601" s="1372"/>
      <c r="I601" s="1372"/>
      <c r="J601" s="1372"/>
      <c r="K601" s="1372"/>
      <c r="L601" s="1372"/>
      <c r="O601" s="33" t="s">
        <v>207</v>
      </c>
      <c r="P601" s="1350"/>
      <c r="Q601" s="1350"/>
      <c r="R601" s="1350"/>
      <c r="T601" s="22"/>
      <c r="U601" t="s">
        <v>317</v>
      </c>
      <c r="Z601" s="1372"/>
      <c r="AA601" s="1372"/>
      <c r="AB601" s="1372"/>
      <c r="AC601" s="1372"/>
      <c r="AD601" s="1372"/>
      <c r="AE601" s="1372"/>
      <c r="AH601" s="33" t="s">
        <v>207</v>
      </c>
      <c r="AI601" s="1350"/>
      <c r="AJ601" s="1350"/>
      <c r="AK601" s="1350"/>
      <c r="AZ601" s="3"/>
      <c r="BA601" s="3"/>
      <c r="BB601" s="3"/>
      <c r="BC601" s="3"/>
      <c r="BD601" s="3"/>
      <c r="BE601" s="1421">
        <f t="shared" si="1"/>
        <v>1</v>
      </c>
      <c r="BF601" s="1423"/>
      <c r="BG601" s="1437">
        <f t="shared" si="2"/>
        <v>7</v>
      </c>
      <c r="BH601" s="1438"/>
      <c r="BI601" s="1421">
        <f t="shared" si="3"/>
        <v>0</v>
      </c>
      <c r="BJ601" s="1423"/>
      <c r="BK601" s="1437">
        <f t="shared" si="4"/>
        <v>0</v>
      </c>
      <c r="BL601" s="1438"/>
      <c r="BM601" s="3"/>
      <c r="BN601" s="1415">
        <f t="shared" si="5"/>
        <v>0</v>
      </c>
      <c r="BO601" s="1416"/>
      <c r="BP601" s="1416"/>
      <c r="BQ601" s="1416"/>
      <c r="BR601" s="1417"/>
      <c r="BS601" s="1424">
        <f t="shared" si="6"/>
        <v>0</v>
      </c>
      <c r="BT601" s="1424"/>
      <c r="BU601" s="1424"/>
      <c r="BV601" s="1424"/>
      <c r="BW601" s="1424"/>
      <c r="BX601" s="1424">
        <f t="shared" si="7"/>
        <v>7</v>
      </c>
      <c r="BY601" s="1424"/>
      <c r="BZ601" s="1424"/>
      <c r="CA601" s="1424"/>
      <c r="CB601" s="1424"/>
      <c r="CC601" s="1424">
        <f t="shared" si="8"/>
        <v>0</v>
      </c>
      <c r="CD601" s="1424"/>
      <c r="CE601" s="1424"/>
      <c r="CF601" s="1424"/>
      <c r="CG601" s="1424"/>
      <c r="CH601" s="1424">
        <f t="shared" si="9"/>
        <v>0</v>
      </c>
      <c r="CI601" s="1424"/>
      <c r="CJ601" s="1424"/>
      <c r="CK601" s="1424"/>
      <c r="CL601" s="1424"/>
      <c r="CM601" s="1424">
        <f t="shared" si="10"/>
        <v>0</v>
      </c>
      <c r="CN601" s="1424"/>
      <c r="CO601" s="1424"/>
      <c r="CP601" s="1424"/>
      <c r="CQ601" s="1424"/>
      <c r="CR601" s="6"/>
      <c r="CS601" s="1425">
        <f t="shared" si="11"/>
        <v>0</v>
      </c>
      <c r="CT601" s="1425"/>
      <c r="CU601" s="1425"/>
      <c r="CV601" s="1425"/>
      <c r="CW601" s="1425"/>
      <c r="CX601" s="1425">
        <f t="shared" si="12"/>
        <v>0</v>
      </c>
      <c r="CY601" s="1425"/>
      <c r="CZ601" s="1425"/>
      <c r="DA601" s="1425"/>
      <c r="DB601" s="1425"/>
      <c r="DC601" s="1425">
        <f t="shared" si="13"/>
        <v>0</v>
      </c>
      <c r="DD601" s="1425"/>
      <c r="DE601" s="1425"/>
      <c r="DF601" s="1425"/>
      <c r="DG601" s="1425"/>
      <c r="DH601" s="1425">
        <f t="shared" si="14"/>
        <v>0</v>
      </c>
      <c r="DI601" s="1425"/>
      <c r="DJ601" s="1425"/>
      <c r="DK601" s="1425"/>
      <c r="DL601" s="1425"/>
      <c r="DM601" s="1425">
        <f t="shared" si="15"/>
        <v>0</v>
      </c>
      <c r="DN601" s="1425"/>
      <c r="DO601" s="1425"/>
      <c r="DP601" s="1425"/>
      <c r="DQ601" s="1425"/>
      <c r="DR601" s="1425">
        <f t="shared" si="16"/>
        <v>0</v>
      </c>
      <c r="DS601" s="1425"/>
      <c r="DT601" s="1425"/>
      <c r="DU601" s="1425"/>
      <c r="DV601" s="1425"/>
      <c r="DX601" s="1421" t="str">
        <f t="shared" si="17"/>
        <v xml:space="preserve"> </v>
      </c>
      <c r="DY601" s="1422"/>
      <c r="DZ601" s="1422"/>
      <c r="EA601" s="1422"/>
      <c r="EB601" s="1423"/>
      <c r="EC601" s="1421" t="str">
        <f t="shared" si="18"/>
        <v xml:space="preserve"> </v>
      </c>
      <c r="ED601" s="1422"/>
      <c r="EE601" s="1422"/>
      <c r="EF601" s="1422"/>
      <c r="EG601" s="1423"/>
      <c r="EH601" s="1421">
        <f t="shared" si="19"/>
        <v>1080</v>
      </c>
      <c r="EI601" s="1422"/>
      <c r="EJ601" s="1422"/>
      <c r="EK601" s="1422"/>
      <c r="EL601" s="1423"/>
      <c r="EM601" s="1421" t="str">
        <f t="shared" si="20"/>
        <v xml:space="preserve"> </v>
      </c>
      <c r="EN601" s="1422"/>
      <c r="EO601" s="1422"/>
      <c r="EP601" s="1422"/>
      <c r="EQ601" s="1423"/>
      <c r="ER601" s="1421" t="str">
        <f t="shared" si="21"/>
        <v xml:space="preserve"> </v>
      </c>
      <c r="ES601" s="1422"/>
      <c r="ET601" s="1422"/>
      <c r="EU601" s="1422"/>
      <c r="EV601" s="1423"/>
      <c r="EW601" s="1421" t="str">
        <f t="shared" si="22"/>
        <v xml:space="preserve"> </v>
      </c>
      <c r="EX601" s="1422"/>
      <c r="EY601" s="1422"/>
      <c r="EZ601" s="1422"/>
      <c r="FA601" s="1423"/>
    </row>
    <row r="602" spans="1:157" ht="12.9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21">
        <f t="shared" si="1"/>
        <v>0</v>
      </c>
      <c r="BF602" s="1423"/>
      <c r="BG602" s="1437">
        <f t="shared" si="2"/>
        <v>0</v>
      </c>
      <c r="BH602" s="1438"/>
      <c r="BI602" s="1421">
        <f t="shared" si="3"/>
        <v>0</v>
      </c>
      <c r="BJ602" s="1423"/>
      <c r="BK602" s="1437">
        <f t="shared" si="4"/>
        <v>0</v>
      </c>
      <c r="BL602" s="1438"/>
      <c r="BM602" s="3"/>
      <c r="BN602" s="1415">
        <f t="shared" si="5"/>
        <v>0</v>
      </c>
      <c r="BO602" s="1416"/>
      <c r="BP602" s="1416"/>
      <c r="BQ602" s="1416"/>
      <c r="BR602" s="1417"/>
      <c r="BS602" s="1424">
        <f t="shared" si="6"/>
        <v>0</v>
      </c>
      <c r="BT602" s="1424"/>
      <c r="BU602" s="1424"/>
      <c r="BV602" s="1424"/>
      <c r="BW602" s="1424"/>
      <c r="BX602" s="1424">
        <f t="shared" si="7"/>
        <v>11</v>
      </c>
      <c r="BY602" s="1424"/>
      <c r="BZ602" s="1424"/>
      <c r="CA602" s="1424"/>
      <c r="CB602" s="1424"/>
      <c r="CC602" s="1424">
        <f t="shared" si="8"/>
        <v>0</v>
      </c>
      <c r="CD602" s="1424"/>
      <c r="CE602" s="1424"/>
      <c r="CF602" s="1424"/>
      <c r="CG602" s="1424"/>
      <c r="CH602" s="1424">
        <f t="shared" si="9"/>
        <v>0</v>
      </c>
      <c r="CI602" s="1424"/>
      <c r="CJ602" s="1424"/>
      <c r="CK602" s="1424"/>
      <c r="CL602" s="1424"/>
      <c r="CM602" s="1424">
        <f t="shared" si="10"/>
        <v>0</v>
      </c>
      <c r="CN602" s="1424"/>
      <c r="CO602" s="1424"/>
      <c r="CP602" s="1424"/>
      <c r="CQ602" s="1424"/>
      <c r="CR602" s="6"/>
      <c r="CS602" s="1425">
        <f t="shared" si="11"/>
        <v>0</v>
      </c>
      <c r="CT602" s="1425"/>
      <c r="CU602" s="1425"/>
      <c r="CV602" s="1425"/>
      <c r="CW602" s="1425"/>
      <c r="CX602" s="1425">
        <f t="shared" si="12"/>
        <v>0</v>
      </c>
      <c r="CY602" s="1425"/>
      <c r="CZ602" s="1425"/>
      <c r="DA602" s="1425"/>
      <c r="DB602" s="1425"/>
      <c r="DC602" s="1425">
        <f t="shared" si="13"/>
        <v>0</v>
      </c>
      <c r="DD602" s="1425"/>
      <c r="DE602" s="1425"/>
      <c r="DF602" s="1425"/>
      <c r="DG602" s="1425"/>
      <c r="DH602" s="1425">
        <f t="shared" si="14"/>
        <v>0</v>
      </c>
      <c r="DI602" s="1425"/>
      <c r="DJ602" s="1425"/>
      <c r="DK602" s="1425"/>
      <c r="DL602" s="1425"/>
      <c r="DM602" s="1425">
        <f t="shared" si="15"/>
        <v>0</v>
      </c>
      <c r="DN602" s="1425"/>
      <c r="DO602" s="1425"/>
      <c r="DP602" s="1425"/>
      <c r="DQ602" s="1425"/>
      <c r="DR602" s="1425">
        <f t="shared" si="16"/>
        <v>0</v>
      </c>
      <c r="DS602" s="1425"/>
      <c r="DT602" s="1425"/>
      <c r="DU602" s="1425"/>
      <c r="DV602" s="1425"/>
      <c r="DX602" s="1421" t="str">
        <f t="shared" si="17"/>
        <v xml:space="preserve"> </v>
      </c>
      <c r="DY602" s="1422"/>
      <c r="DZ602" s="1422"/>
      <c r="EA602" s="1422"/>
      <c r="EB602" s="1423"/>
      <c r="EC602" s="1421" t="str">
        <f t="shared" si="18"/>
        <v xml:space="preserve"> </v>
      </c>
      <c r="ED602" s="1422"/>
      <c r="EE602" s="1422"/>
      <c r="EF602" s="1422"/>
      <c r="EG602" s="1423"/>
      <c r="EH602" s="1421">
        <f t="shared" si="19"/>
        <v>1517</v>
      </c>
      <c r="EI602" s="1422"/>
      <c r="EJ602" s="1422"/>
      <c r="EK602" s="1422"/>
      <c r="EL602" s="1423"/>
      <c r="EM602" s="1421" t="str">
        <f t="shared" si="20"/>
        <v xml:space="preserve"> </v>
      </c>
      <c r="EN602" s="1422"/>
      <c r="EO602" s="1422"/>
      <c r="EP602" s="1422"/>
      <c r="EQ602" s="1423"/>
      <c r="ER602" s="1421" t="str">
        <f t="shared" si="21"/>
        <v xml:space="preserve"> </v>
      </c>
      <c r="ES602" s="1422"/>
      <c r="ET602" s="1422"/>
      <c r="EU602" s="1422"/>
      <c r="EV602" s="1423"/>
      <c r="EW602" s="1421" t="str">
        <f t="shared" si="22"/>
        <v xml:space="preserve"> </v>
      </c>
      <c r="EX602" s="1422"/>
      <c r="EY602" s="1422"/>
      <c r="EZ602" s="1422"/>
      <c r="FA602" s="1423"/>
    </row>
    <row r="603" spans="1:157" ht="12.95" customHeight="1">
      <c r="A603" s="22"/>
      <c r="B603" t="s">
        <v>20</v>
      </c>
      <c r="N603" s="1370" t="s">
        <v>678</v>
      </c>
      <c r="O603" s="1370"/>
      <c r="T603" s="22"/>
      <c r="U603" t="s">
        <v>20</v>
      </c>
      <c r="AG603" s="1370" t="s">
        <v>678</v>
      </c>
      <c r="AH603" s="1370"/>
      <c r="AZ603" s="3"/>
      <c r="BA603" s="3"/>
      <c r="BB603" s="3"/>
      <c r="BC603" s="3"/>
      <c r="BD603" s="3"/>
      <c r="BE603" s="1421">
        <f t="shared" si="1"/>
        <v>0</v>
      </c>
      <c r="BF603" s="1423"/>
      <c r="BG603" s="1437">
        <f t="shared" si="2"/>
        <v>0</v>
      </c>
      <c r="BH603" s="1438"/>
      <c r="BI603" s="1421">
        <f t="shared" si="3"/>
        <v>1</v>
      </c>
      <c r="BJ603" s="1423"/>
      <c r="BK603" s="1437">
        <f t="shared" si="4"/>
        <v>3</v>
      </c>
      <c r="BL603" s="1438"/>
      <c r="BM603" s="3"/>
      <c r="BN603" s="1415">
        <f t="shared" si="5"/>
        <v>0</v>
      </c>
      <c r="BO603" s="1416"/>
      <c r="BP603" s="1416"/>
      <c r="BQ603" s="1416"/>
      <c r="BR603" s="1417"/>
      <c r="BS603" s="1424">
        <f t="shared" si="6"/>
        <v>0</v>
      </c>
      <c r="BT603" s="1424"/>
      <c r="BU603" s="1424"/>
      <c r="BV603" s="1424"/>
      <c r="BW603" s="1424"/>
      <c r="BX603" s="1424">
        <f t="shared" si="7"/>
        <v>3</v>
      </c>
      <c r="BY603" s="1424"/>
      <c r="BZ603" s="1424"/>
      <c r="CA603" s="1424"/>
      <c r="CB603" s="1424"/>
      <c r="CC603" s="1424">
        <f t="shared" si="8"/>
        <v>0</v>
      </c>
      <c r="CD603" s="1424"/>
      <c r="CE603" s="1424"/>
      <c r="CF603" s="1424"/>
      <c r="CG603" s="1424"/>
      <c r="CH603" s="1424">
        <f t="shared" si="9"/>
        <v>0</v>
      </c>
      <c r="CI603" s="1424"/>
      <c r="CJ603" s="1424"/>
      <c r="CK603" s="1424"/>
      <c r="CL603" s="1424"/>
      <c r="CM603" s="1424">
        <f t="shared" si="10"/>
        <v>0</v>
      </c>
      <c r="CN603" s="1424"/>
      <c r="CO603" s="1424"/>
      <c r="CP603" s="1424"/>
      <c r="CQ603" s="1424"/>
      <c r="CR603" s="6"/>
      <c r="CS603" s="1425">
        <f t="shared" si="11"/>
        <v>0</v>
      </c>
      <c r="CT603" s="1425"/>
      <c r="CU603" s="1425"/>
      <c r="CV603" s="1425"/>
      <c r="CW603" s="1425"/>
      <c r="CX603" s="1425">
        <f t="shared" si="12"/>
        <v>0</v>
      </c>
      <c r="CY603" s="1425"/>
      <c r="CZ603" s="1425"/>
      <c r="DA603" s="1425"/>
      <c r="DB603" s="1425"/>
      <c r="DC603" s="1425">
        <f t="shared" si="13"/>
        <v>3</v>
      </c>
      <c r="DD603" s="1425"/>
      <c r="DE603" s="1425"/>
      <c r="DF603" s="1425"/>
      <c r="DG603" s="1425"/>
      <c r="DH603" s="1425">
        <f t="shared" si="14"/>
        <v>0</v>
      </c>
      <c r="DI603" s="1425"/>
      <c r="DJ603" s="1425"/>
      <c r="DK603" s="1425"/>
      <c r="DL603" s="1425"/>
      <c r="DM603" s="1425">
        <f t="shared" si="15"/>
        <v>0</v>
      </c>
      <c r="DN603" s="1425"/>
      <c r="DO603" s="1425"/>
      <c r="DP603" s="1425"/>
      <c r="DQ603" s="1425"/>
      <c r="DR603" s="1425">
        <f t="shared" si="16"/>
        <v>0</v>
      </c>
      <c r="DS603" s="1425"/>
      <c r="DT603" s="1425"/>
      <c r="DU603" s="1425"/>
      <c r="DV603" s="1425"/>
      <c r="DX603" s="1421" t="str">
        <f t="shared" si="17"/>
        <v xml:space="preserve"> </v>
      </c>
      <c r="DY603" s="1422"/>
      <c r="DZ603" s="1422"/>
      <c r="EA603" s="1422"/>
      <c r="EB603" s="1423"/>
      <c r="EC603" s="1421" t="str">
        <f t="shared" si="18"/>
        <v xml:space="preserve"> </v>
      </c>
      <c r="ED603" s="1422"/>
      <c r="EE603" s="1422"/>
      <c r="EF603" s="1422"/>
      <c r="EG603" s="1423"/>
      <c r="EH603" s="1421">
        <f t="shared" si="19"/>
        <v>624</v>
      </c>
      <c r="EI603" s="1422"/>
      <c r="EJ603" s="1422"/>
      <c r="EK603" s="1422"/>
      <c r="EL603" s="1423"/>
      <c r="EM603" s="1421" t="str">
        <f t="shared" si="20"/>
        <v xml:space="preserve"> </v>
      </c>
      <c r="EN603" s="1422"/>
      <c r="EO603" s="1422"/>
      <c r="EP603" s="1422"/>
      <c r="EQ603" s="1423"/>
      <c r="ER603" s="1421" t="str">
        <f t="shared" si="21"/>
        <v xml:space="preserve"> </v>
      </c>
      <c r="ES603" s="1422"/>
      <c r="ET603" s="1422"/>
      <c r="EU603" s="1422"/>
      <c r="EV603" s="1423"/>
      <c r="EW603" s="1421" t="str">
        <f t="shared" si="22"/>
        <v xml:space="preserve"> </v>
      </c>
      <c r="EX603" s="1422"/>
      <c r="EY603" s="1422"/>
      <c r="EZ603" s="1422"/>
      <c r="FA603" s="1423"/>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1</v>
      </c>
      <c r="BF604" s="1423"/>
      <c r="BG604" s="1437">
        <f t="shared" si="2"/>
        <v>10</v>
      </c>
      <c r="BH604" s="1438"/>
      <c r="BI604" s="1421">
        <f t="shared" si="3"/>
        <v>0</v>
      </c>
      <c r="BJ604" s="1423"/>
      <c r="BK604" s="1437">
        <f t="shared" si="4"/>
        <v>0</v>
      </c>
      <c r="BL604" s="1438"/>
      <c r="BM604" s="3"/>
      <c r="BN604" s="1415">
        <f t="shared" si="5"/>
        <v>0</v>
      </c>
      <c r="BO604" s="1416"/>
      <c r="BP604" s="1416"/>
      <c r="BQ604" s="1416"/>
      <c r="BR604" s="1417"/>
      <c r="BS604" s="1424">
        <f t="shared" si="6"/>
        <v>0</v>
      </c>
      <c r="BT604" s="1424"/>
      <c r="BU604" s="1424"/>
      <c r="BV604" s="1424"/>
      <c r="BW604" s="1424"/>
      <c r="BX604" s="1424">
        <f t="shared" si="7"/>
        <v>10</v>
      </c>
      <c r="BY604" s="1424"/>
      <c r="BZ604" s="1424"/>
      <c r="CA604" s="1424"/>
      <c r="CB604" s="1424"/>
      <c r="CC604" s="1424">
        <f t="shared" si="8"/>
        <v>0</v>
      </c>
      <c r="CD604" s="1424"/>
      <c r="CE604" s="1424"/>
      <c r="CF604" s="1424"/>
      <c r="CG604" s="1424"/>
      <c r="CH604" s="1424">
        <f t="shared" si="9"/>
        <v>0</v>
      </c>
      <c r="CI604" s="1424"/>
      <c r="CJ604" s="1424"/>
      <c r="CK604" s="1424"/>
      <c r="CL604" s="1424"/>
      <c r="CM604" s="1424">
        <f t="shared" si="10"/>
        <v>0</v>
      </c>
      <c r="CN604" s="1424"/>
      <c r="CO604" s="1424"/>
      <c r="CP604" s="1424"/>
      <c r="CQ604" s="1424"/>
      <c r="CR604" s="6"/>
      <c r="CS604" s="1425">
        <f t="shared" si="11"/>
        <v>0</v>
      </c>
      <c r="CT604" s="1425"/>
      <c r="CU604" s="1425"/>
      <c r="CV604" s="1425"/>
      <c r="CW604" s="1425"/>
      <c r="CX604" s="1425">
        <f t="shared" si="12"/>
        <v>0</v>
      </c>
      <c r="CY604" s="1425"/>
      <c r="CZ604" s="1425"/>
      <c r="DA604" s="1425"/>
      <c r="DB604" s="1425"/>
      <c r="DC604" s="1425">
        <f t="shared" si="13"/>
        <v>0</v>
      </c>
      <c r="DD604" s="1425"/>
      <c r="DE604" s="1425"/>
      <c r="DF604" s="1425"/>
      <c r="DG604" s="1425"/>
      <c r="DH604" s="1425">
        <f t="shared" si="14"/>
        <v>0</v>
      </c>
      <c r="DI604" s="1425"/>
      <c r="DJ604" s="1425"/>
      <c r="DK604" s="1425"/>
      <c r="DL604" s="1425"/>
      <c r="DM604" s="1425">
        <f t="shared" si="15"/>
        <v>0</v>
      </c>
      <c r="DN604" s="1425"/>
      <c r="DO604" s="1425"/>
      <c r="DP604" s="1425"/>
      <c r="DQ604" s="1425"/>
      <c r="DR604" s="1425">
        <f t="shared" si="16"/>
        <v>0</v>
      </c>
      <c r="DS604" s="1425"/>
      <c r="DT604" s="1425"/>
      <c r="DU604" s="1425"/>
      <c r="DV604" s="1425"/>
      <c r="DX604" s="1421" t="str">
        <f t="shared" si="17"/>
        <v xml:space="preserve"> </v>
      </c>
      <c r="DY604" s="1422"/>
      <c r="DZ604" s="1422"/>
      <c r="EA604" s="1422"/>
      <c r="EB604" s="1423"/>
      <c r="EC604" s="1421" t="str">
        <f t="shared" si="18"/>
        <v xml:space="preserve"> </v>
      </c>
      <c r="ED604" s="1422"/>
      <c r="EE604" s="1422"/>
      <c r="EF604" s="1422"/>
      <c r="EG604" s="1423"/>
      <c r="EH604" s="1421">
        <f t="shared" si="19"/>
        <v>1080</v>
      </c>
      <c r="EI604" s="1422"/>
      <c r="EJ604" s="1422"/>
      <c r="EK604" s="1422"/>
      <c r="EL604" s="1423"/>
      <c r="EM604" s="1421" t="str">
        <f t="shared" si="20"/>
        <v xml:space="preserve"> </v>
      </c>
      <c r="EN604" s="1422"/>
      <c r="EO604" s="1422"/>
      <c r="EP604" s="1422"/>
      <c r="EQ604" s="1423"/>
      <c r="ER604" s="1421" t="str">
        <f t="shared" si="21"/>
        <v xml:space="preserve"> </v>
      </c>
      <c r="ES604" s="1422"/>
      <c r="ET604" s="1422"/>
      <c r="EU604" s="1422"/>
      <c r="EV604" s="1423"/>
      <c r="EW604" s="1421" t="str">
        <f t="shared" si="22"/>
        <v xml:space="preserve"> </v>
      </c>
      <c r="EX604" s="1422"/>
      <c r="EY604" s="1422"/>
      <c r="EZ604" s="1422"/>
      <c r="FA604" s="1423"/>
    </row>
    <row r="605" spans="1:157" s="4" customFormat="1" ht="12.95" customHeight="1">
      <c r="A605" s="55" t="s">
        <v>363</v>
      </c>
      <c r="B605" t="s">
        <v>472</v>
      </c>
      <c r="C605"/>
      <c r="D605"/>
      <c r="E605"/>
      <c r="F605"/>
      <c r="G605" s="1351">
        <f>C560</f>
        <v>0</v>
      </c>
      <c r="H605" s="1351"/>
      <c r="I605" s="1351"/>
      <c r="J605" s="1351"/>
      <c r="K605" s="1351"/>
      <c r="L605" s="1351"/>
      <c r="M605" s="1351"/>
      <c r="N605" s="1351"/>
      <c r="O605" s="1351"/>
      <c r="P605" s="1351"/>
      <c r="Q605" s="1351"/>
      <c r="R605" s="1351"/>
      <c r="S605"/>
      <c r="T605" s="55" t="s">
        <v>364</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21">
        <f t="shared" si="1"/>
        <v>0</v>
      </c>
      <c r="BF605" s="1423"/>
      <c r="BG605" s="1437">
        <f t="shared" si="2"/>
        <v>0</v>
      </c>
      <c r="BH605" s="1438"/>
      <c r="BI605" s="1421">
        <f t="shared" si="3"/>
        <v>0</v>
      </c>
      <c r="BJ605" s="1423"/>
      <c r="BK605" s="1437">
        <f t="shared" si="4"/>
        <v>0</v>
      </c>
      <c r="BL605" s="1438"/>
      <c r="BM605" s="3"/>
      <c r="BN605" s="1415">
        <f t="shared" si="5"/>
        <v>0</v>
      </c>
      <c r="BO605" s="1416"/>
      <c r="BP605" s="1416"/>
      <c r="BQ605" s="1416"/>
      <c r="BR605" s="1417"/>
      <c r="BS605" s="1424">
        <f t="shared" si="6"/>
        <v>0</v>
      </c>
      <c r="BT605" s="1424"/>
      <c r="BU605" s="1424"/>
      <c r="BV605" s="1424"/>
      <c r="BW605" s="1424"/>
      <c r="BX605" s="1424">
        <f t="shared" si="7"/>
        <v>12</v>
      </c>
      <c r="BY605" s="1424"/>
      <c r="BZ605" s="1424"/>
      <c r="CA605" s="1424"/>
      <c r="CB605" s="1424"/>
      <c r="CC605" s="1424">
        <f t="shared" si="8"/>
        <v>0</v>
      </c>
      <c r="CD605" s="1424"/>
      <c r="CE605" s="1424"/>
      <c r="CF605" s="1424"/>
      <c r="CG605" s="1424"/>
      <c r="CH605" s="1424">
        <f t="shared" si="9"/>
        <v>0</v>
      </c>
      <c r="CI605" s="1424"/>
      <c r="CJ605" s="1424"/>
      <c r="CK605" s="1424"/>
      <c r="CL605" s="1424"/>
      <c r="CM605" s="1424">
        <f t="shared" si="10"/>
        <v>0</v>
      </c>
      <c r="CN605" s="1424"/>
      <c r="CO605" s="1424"/>
      <c r="CP605" s="1424"/>
      <c r="CQ605" s="1424"/>
      <c r="CR605" s="6"/>
      <c r="CS605" s="1425">
        <f t="shared" si="11"/>
        <v>0</v>
      </c>
      <c r="CT605" s="1425"/>
      <c r="CU605" s="1425"/>
      <c r="CV605" s="1425"/>
      <c r="CW605" s="1425"/>
      <c r="CX605" s="1425">
        <f t="shared" si="12"/>
        <v>0</v>
      </c>
      <c r="CY605" s="1425"/>
      <c r="CZ605" s="1425"/>
      <c r="DA605" s="1425"/>
      <c r="DB605" s="1425"/>
      <c r="DC605" s="1425">
        <f t="shared" si="13"/>
        <v>0</v>
      </c>
      <c r="DD605" s="1425"/>
      <c r="DE605" s="1425"/>
      <c r="DF605" s="1425"/>
      <c r="DG605" s="1425"/>
      <c r="DH605" s="1425">
        <f t="shared" si="14"/>
        <v>0</v>
      </c>
      <c r="DI605" s="1425"/>
      <c r="DJ605" s="1425"/>
      <c r="DK605" s="1425"/>
      <c r="DL605" s="1425"/>
      <c r="DM605" s="1425">
        <f t="shared" si="15"/>
        <v>0</v>
      </c>
      <c r="DN605" s="1425"/>
      <c r="DO605" s="1425"/>
      <c r="DP605" s="1425"/>
      <c r="DQ605" s="1425"/>
      <c r="DR605" s="1425">
        <f t="shared" si="16"/>
        <v>0</v>
      </c>
      <c r="DS605" s="1425"/>
      <c r="DT605" s="1425"/>
      <c r="DU605" s="1425"/>
      <c r="DV605" s="1425"/>
      <c r="DX605" s="1421" t="str">
        <f t="shared" si="17"/>
        <v xml:space="preserve"> </v>
      </c>
      <c r="DY605" s="1422"/>
      <c r="DZ605" s="1422"/>
      <c r="EA605" s="1422"/>
      <c r="EB605" s="1423"/>
      <c r="EC605" s="1421" t="str">
        <f t="shared" si="18"/>
        <v xml:space="preserve"> </v>
      </c>
      <c r="ED605" s="1422"/>
      <c r="EE605" s="1422"/>
      <c r="EF605" s="1422"/>
      <c r="EG605" s="1423"/>
      <c r="EH605" s="1421">
        <f t="shared" si="19"/>
        <v>1536</v>
      </c>
      <c r="EI605" s="1422"/>
      <c r="EJ605" s="1422"/>
      <c r="EK605" s="1422"/>
      <c r="EL605" s="1423"/>
      <c r="EM605" s="1421" t="str">
        <f t="shared" si="20"/>
        <v xml:space="preserve"> </v>
      </c>
      <c r="EN605" s="1422"/>
      <c r="EO605" s="1422"/>
      <c r="EP605" s="1422"/>
      <c r="EQ605" s="1423"/>
      <c r="ER605" s="1421" t="str">
        <f t="shared" si="21"/>
        <v xml:space="preserve"> </v>
      </c>
      <c r="ES605" s="1422"/>
      <c r="ET605" s="1422"/>
      <c r="EU605" s="1422"/>
      <c r="EV605" s="1423"/>
      <c r="EW605" s="1421" t="str">
        <f t="shared" si="22"/>
        <v xml:space="preserve"> </v>
      </c>
      <c r="EX605" s="1422"/>
      <c r="EY605" s="1422"/>
      <c r="EZ605" s="1422"/>
      <c r="FA605" s="1423"/>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21">
        <f t="shared" si="1"/>
        <v>0</v>
      </c>
      <c r="BF606" s="1423"/>
      <c r="BG606" s="1437">
        <f t="shared" si="2"/>
        <v>0</v>
      </c>
      <c r="BH606" s="1438"/>
      <c r="BI606" s="1421">
        <f t="shared" si="3"/>
        <v>0</v>
      </c>
      <c r="BJ606" s="1423"/>
      <c r="BK606" s="1437">
        <f t="shared" si="4"/>
        <v>0</v>
      </c>
      <c r="BL606" s="1438"/>
      <c r="BM606" s="3"/>
      <c r="BN606" s="1415">
        <f t="shared" si="5"/>
        <v>0</v>
      </c>
      <c r="BO606" s="1416"/>
      <c r="BP606" s="1416"/>
      <c r="BQ606" s="1416"/>
      <c r="BR606" s="1417"/>
      <c r="BS606" s="1424">
        <f t="shared" si="6"/>
        <v>0</v>
      </c>
      <c r="BT606" s="1424"/>
      <c r="BU606" s="1424"/>
      <c r="BV606" s="1424"/>
      <c r="BW606" s="1424"/>
      <c r="BX606" s="1424">
        <f t="shared" si="7"/>
        <v>1</v>
      </c>
      <c r="BY606" s="1424"/>
      <c r="BZ606" s="1424"/>
      <c r="CA606" s="1424"/>
      <c r="CB606" s="1424"/>
      <c r="CC606" s="1424">
        <f t="shared" si="8"/>
        <v>0</v>
      </c>
      <c r="CD606" s="1424"/>
      <c r="CE606" s="1424"/>
      <c r="CF606" s="1424"/>
      <c r="CG606" s="1424"/>
      <c r="CH606" s="1424">
        <f t="shared" si="9"/>
        <v>0</v>
      </c>
      <c r="CI606" s="1424"/>
      <c r="CJ606" s="1424"/>
      <c r="CK606" s="1424"/>
      <c r="CL606" s="1424"/>
      <c r="CM606" s="1424">
        <f t="shared" si="10"/>
        <v>0</v>
      </c>
      <c r="CN606" s="1424"/>
      <c r="CO606" s="1424"/>
      <c r="CP606" s="1424"/>
      <c r="CQ606" s="1424"/>
      <c r="CR606" s="6"/>
      <c r="CS606" s="1425">
        <f t="shared" si="11"/>
        <v>0</v>
      </c>
      <c r="CT606" s="1425"/>
      <c r="CU606" s="1425"/>
      <c r="CV606" s="1425"/>
      <c r="CW606" s="1425"/>
      <c r="CX606" s="1425">
        <f t="shared" si="12"/>
        <v>0</v>
      </c>
      <c r="CY606" s="1425"/>
      <c r="CZ606" s="1425"/>
      <c r="DA606" s="1425"/>
      <c r="DB606" s="1425"/>
      <c r="DC606" s="1425">
        <f t="shared" si="13"/>
        <v>0</v>
      </c>
      <c r="DD606" s="1425"/>
      <c r="DE606" s="1425"/>
      <c r="DF606" s="1425"/>
      <c r="DG606" s="1425"/>
      <c r="DH606" s="1425">
        <f t="shared" si="14"/>
        <v>0</v>
      </c>
      <c r="DI606" s="1425"/>
      <c r="DJ606" s="1425"/>
      <c r="DK606" s="1425"/>
      <c r="DL606" s="1425"/>
      <c r="DM606" s="1425">
        <f t="shared" si="15"/>
        <v>0</v>
      </c>
      <c r="DN606" s="1425"/>
      <c r="DO606" s="1425"/>
      <c r="DP606" s="1425"/>
      <c r="DQ606" s="1425"/>
      <c r="DR606" s="1425">
        <f t="shared" si="16"/>
        <v>0</v>
      </c>
      <c r="DS606" s="1425"/>
      <c r="DT606" s="1425"/>
      <c r="DU606" s="1425"/>
      <c r="DV606" s="1425"/>
      <c r="DX606" s="1421" t="str">
        <f t="shared" si="17"/>
        <v xml:space="preserve"> </v>
      </c>
      <c r="DY606" s="1422"/>
      <c r="DZ606" s="1422"/>
      <c r="EA606" s="1422"/>
      <c r="EB606" s="1423"/>
      <c r="EC606" s="1421" t="str">
        <f t="shared" si="18"/>
        <v xml:space="preserve"> </v>
      </c>
      <c r="ED606" s="1422"/>
      <c r="EE606" s="1422"/>
      <c r="EF606" s="1422"/>
      <c r="EG606" s="1423"/>
      <c r="EH606" s="1421">
        <f t="shared" si="19"/>
        <v>1764</v>
      </c>
      <c r="EI606" s="1422"/>
      <c r="EJ606" s="1422"/>
      <c r="EK606" s="1422"/>
      <c r="EL606" s="1423"/>
      <c r="EM606" s="1421" t="str">
        <f t="shared" si="20"/>
        <v xml:space="preserve"> </v>
      </c>
      <c r="EN606" s="1422"/>
      <c r="EO606" s="1422"/>
      <c r="EP606" s="1422"/>
      <c r="EQ606" s="1423"/>
      <c r="ER606" s="1421" t="str">
        <f t="shared" si="21"/>
        <v xml:space="preserve"> </v>
      </c>
      <c r="ES606" s="1422"/>
      <c r="ET606" s="1422"/>
      <c r="EU606" s="1422"/>
      <c r="EV606" s="1423"/>
      <c r="EW606" s="1421" t="str">
        <f t="shared" si="22"/>
        <v xml:space="preserve"> </v>
      </c>
      <c r="EX606" s="1422"/>
      <c r="EY606" s="1422"/>
      <c r="EZ606" s="1422"/>
      <c r="FA606" s="1423"/>
    </row>
    <row r="607" spans="1:157" ht="12.95" customHeight="1">
      <c r="B607" t="s">
        <v>589</v>
      </c>
      <c r="G607" s="1352"/>
      <c r="H607" s="1352"/>
      <c r="I607" s="1352"/>
      <c r="J607" s="1352"/>
      <c r="K607" s="1352"/>
      <c r="L607" s="1352"/>
      <c r="M607" s="1352"/>
      <c r="N607" s="1352"/>
      <c r="O607" s="1352"/>
      <c r="P607" s="1352"/>
      <c r="Q607" s="1352"/>
      <c r="R607" s="1352"/>
      <c r="U607" t="s">
        <v>589</v>
      </c>
      <c r="Z607" s="1369"/>
      <c r="AA607" s="1369"/>
      <c r="AB607" s="1369"/>
      <c r="AC607" s="1369"/>
      <c r="AD607" s="1369"/>
      <c r="AE607" s="1369"/>
      <c r="AF607" s="1369"/>
      <c r="AG607" s="1369"/>
      <c r="AH607" s="1369"/>
      <c r="AI607" s="1369"/>
      <c r="AJ607" s="1369"/>
      <c r="AK607" s="1369"/>
      <c r="AZ607" s="3"/>
      <c r="BA607" s="3"/>
      <c r="BB607" s="3"/>
      <c r="BC607" s="3"/>
      <c r="BD607" s="3"/>
      <c r="BE607" s="1421">
        <f t="shared" si="1"/>
        <v>0</v>
      </c>
      <c r="BF607" s="1423"/>
      <c r="BG607" s="1437">
        <f t="shared" si="2"/>
        <v>0</v>
      </c>
      <c r="BH607" s="1438"/>
      <c r="BI607" s="1421">
        <f t="shared" si="3"/>
        <v>1</v>
      </c>
      <c r="BJ607" s="1423"/>
      <c r="BK607" s="1437">
        <f t="shared" si="4"/>
        <v>3</v>
      </c>
      <c r="BL607" s="1438"/>
      <c r="BM607" s="3"/>
      <c r="BN607" s="1415">
        <f t="shared" si="5"/>
        <v>0</v>
      </c>
      <c r="BO607" s="1416"/>
      <c r="BP607" s="1416"/>
      <c r="BQ607" s="1416"/>
      <c r="BR607" s="1417"/>
      <c r="BS607" s="1424">
        <f t="shared" si="6"/>
        <v>0</v>
      </c>
      <c r="BT607" s="1424"/>
      <c r="BU607" s="1424"/>
      <c r="BV607" s="1424"/>
      <c r="BW607" s="1424"/>
      <c r="BX607" s="1424">
        <f t="shared" si="7"/>
        <v>0</v>
      </c>
      <c r="BY607" s="1424"/>
      <c r="BZ607" s="1424"/>
      <c r="CA607" s="1424"/>
      <c r="CB607" s="1424"/>
      <c r="CC607" s="1424">
        <f t="shared" si="8"/>
        <v>3</v>
      </c>
      <c r="CD607" s="1424"/>
      <c r="CE607" s="1424"/>
      <c r="CF607" s="1424"/>
      <c r="CG607" s="1424"/>
      <c r="CH607" s="1424">
        <f t="shared" si="9"/>
        <v>0</v>
      </c>
      <c r="CI607" s="1424"/>
      <c r="CJ607" s="1424"/>
      <c r="CK607" s="1424"/>
      <c r="CL607" s="1424"/>
      <c r="CM607" s="1424">
        <f t="shared" si="10"/>
        <v>0</v>
      </c>
      <c r="CN607" s="1424"/>
      <c r="CO607" s="1424"/>
      <c r="CP607" s="1424"/>
      <c r="CQ607" s="1424"/>
      <c r="CR607" s="6"/>
      <c r="CS607" s="1425">
        <f t="shared" si="11"/>
        <v>0</v>
      </c>
      <c r="CT607" s="1425"/>
      <c r="CU607" s="1425"/>
      <c r="CV607" s="1425"/>
      <c r="CW607" s="1425"/>
      <c r="CX607" s="1425">
        <f t="shared" si="12"/>
        <v>0</v>
      </c>
      <c r="CY607" s="1425"/>
      <c r="CZ607" s="1425"/>
      <c r="DA607" s="1425"/>
      <c r="DB607" s="1425"/>
      <c r="DC607" s="1425">
        <f t="shared" si="13"/>
        <v>0</v>
      </c>
      <c r="DD607" s="1425"/>
      <c r="DE607" s="1425"/>
      <c r="DF607" s="1425"/>
      <c r="DG607" s="1425"/>
      <c r="DH607" s="1425">
        <f t="shared" si="14"/>
        <v>3</v>
      </c>
      <c r="DI607" s="1425"/>
      <c r="DJ607" s="1425"/>
      <c r="DK607" s="1425"/>
      <c r="DL607" s="1425"/>
      <c r="DM607" s="1425">
        <f t="shared" si="15"/>
        <v>0</v>
      </c>
      <c r="DN607" s="1425"/>
      <c r="DO607" s="1425"/>
      <c r="DP607" s="1425"/>
      <c r="DQ607" s="1425"/>
      <c r="DR607" s="1425">
        <f t="shared" si="16"/>
        <v>0</v>
      </c>
      <c r="DS607" s="1425"/>
      <c r="DT607" s="1425"/>
      <c r="DU607" s="1425"/>
      <c r="DV607" s="1425"/>
      <c r="DX607" s="1421" t="str">
        <f t="shared" si="17"/>
        <v xml:space="preserve"> </v>
      </c>
      <c r="DY607" s="1422"/>
      <c r="DZ607" s="1422"/>
      <c r="EA607" s="1422"/>
      <c r="EB607" s="1423"/>
      <c r="EC607" s="1421" t="str">
        <f t="shared" si="18"/>
        <v xml:space="preserve"> </v>
      </c>
      <c r="ED607" s="1422"/>
      <c r="EE607" s="1422"/>
      <c r="EF607" s="1422"/>
      <c r="EG607" s="1423"/>
      <c r="EH607" s="1421" t="str">
        <f t="shared" si="19"/>
        <v xml:space="preserve"> </v>
      </c>
      <c r="EI607" s="1422"/>
      <c r="EJ607" s="1422"/>
      <c r="EK607" s="1422"/>
      <c r="EL607" s="1423"/>
      <c r="EM607" s="1421">
        <f t="shared" si="20"/>
        <v>720</v>
      </c>
      <c r="EN607" s="1422"/>
      <c r="EO607" s="1422"/>
      <c r="EP607" s="1422"/>
      <c r="EQ607" s="1423"/>
      <c r="ER607" s="1421" t="str">
        <f t="shared" si="21"/>
        <v xml:space="preserve"> </v>
      </c>
      <c r="ES607" s="1422"/>
      <c r="ET607" s="1422"/>
      <c r="EU607" s="1422"/>
      <c r="EV607" s="1423"/>
      <c r="EW607" s="1421" t="str">
        <f t="shared" si="22"/>
        <v xml:space="preserve"> </v>
      </c>
      <c r="EX607" s="1422"/>
      <c r="EY607" s="1422"/>
      <c r="EZ607" s="1422"/>
      <c r="FA607" s="1423"/>
    </row>
    <row r="608" spans="1:157" ht="12.95" customHeight="1">
      <c r="B608" t="s">
        <v>17</v>
      </c>
      <c r="G608" s="1352"/>
      <c r="H608" s="1352"/>
      <c r="I608" s="1352"/>
      <c r="J608" s="1352"/>
      <c r="K608" s="1352"/>
      <c r="L608" s="1352"/>
      <c r="M608" s="1352"/>
      <c r="N608" s="1352"/>
      <c r="O608" s="1352"/>
      <c r="P608" s="1352"/>
      <c r="Q608" s="1352"/>
      <c r="R608" s="1352"/>
      <c r="U608" t="s">
        <v>17</v>
      </c>
      <c r="Z608" s="1369"/>
      <c r="AA608" s="1369"/>
      <c r="AB608" s="1369"/>
      <c r="AC608" s="1369"/>
      <c r="AD608" s="1369"/>
      <c r="AE608" s="1369"/>
      <c r="AF608" s="1369"/>
      <c r="AG608" s="1369"/>
      <c r="AH608" s="1369"/>
      <c r="AI608" s="1369"/>
      <c r="AJ608" s="1369"/>
      <c r="AK608" s="1369"/>
      <c r="AZ608" s="3"/>
      <c r="BA608" s="3"/>
      <c r="BB608" s="3"/>
      <c r="BC608" s="3"/>
      <c r="BD608" s="3"/>
      <c r="BE608" s="1421">
        <f t="shared" si="1"/>
        <v>1</v>
      </c>
      <c r="BF608" s="1423"/>
      <c r="BG608" s="1437">
        <f t="shared" si="2"/>
        <v>10</v>
      </c>
      <c r="BH608" s="1438"/>
      <c r="BI608" s="1421">
        <f t="shared" si="3"/>
        <v>0</v>
      </c>
      <c r="BJ608" s="1423"/>
      <c r="BK608" s="1437">
        <f t="shared" si="4"/>
        <v>0</v>
      </c>
      <c r="BL608" s="1438"/>
      <c r="BM608" s="3"/>
      <c r="BN608" s="1415">
        <f t="shared" si="5"/>
        <v>0</v>
      </c>
      <c r="BO608" s="1416"/>
      <c r="BP608" s="1416"/>
      <c r="BQ608" s="1416"/>
      <c r="BR608" s="1417"/>
      <c r="BS608" s="1424">
        <f t="shared" si="6"/>
        <v>0</v>
      </c>
      <c r="BT608" s="1424"/>
      <c r="BU608" s="1424"/>
      <c r="BV608" s="1424"/>
      <c r="BW608" s="1424"/>
      <c r="BX608" s="1424">
        <f t="shared" si="7"/>
        <v>0</v>
      </c>
      <c r="BY608" s="1424"/>
      <c r="BZ608" s="1424"/>
      <c r="CA608" s="1424"/>
      <c r="CB608" s="1424"/>
      <c r="CC608" s="1424">
        <f t="shared" si="8"/>
        <v>10</v>
      </c>
      <c r="CD608" s="1424"/>
      <c r="CE608" s="1424"/>
      <c r="CF608" s="1424"/>
      <c r="CG608" s="1424"/>
      <c r="CH608" s="1424">
        <f t="shared" si="9"/>
        <v>0</v>
      </c>
      <c r="CI608" s="1424"/>
      <c r="CJ608" s="1424"/>
      <c r="CK608" s="1424"/>
      <c r="CL608" s="1424"/>
      <c r="CM608" s="1424">
        <f t="shared" si="10"/>
        <v>0</v>
      </c>
      <c r="CN608" s="1424"/>
      <c r="CO608" s="1424"/>
      <c r="CP608" s="1424"/>
      <c r="CQ608" s="1424"/>
      <c r="CR608" s="6"/>
      <c r="CS608" s="1425">
        <f t="shared" si="11"/>
        <v>0</v>
      </c>
      <c r="CT608" s="1425"/>
      <c r="CU608" s="1425"/>
      <c r="CV608" s="1425"/>
      <c r="CW608" s="1425"/>
      <c r="CX608" s="1425">
        <f t="shared" si="12"/>
        <v>0</v>
      </c>
      <c r="CY608" s="1425"/>
      <c r="CZ608" s="1425"/>
      <c r="DA608" s="1425"/>
      <c r="DB608" s="1425"/>
      <c r="DC608" s="1425">
        <f t="shared" si="13"/>
        <v>0</v>
      </c>
      <c r="DD608" s="1425"/>
      <c r="DE608" s="1425"/>
      <c r="DF608" s="1425"/>
      <c r="DG608" s="1425"/>
      <c r="DH608" s="1425">
        <f t="shared" si="14"/>
        <v>0</v>
      </c>
      <c r="DI608" s="1425"/>
      <c r="DJ608" s="1425"/>
      <c r="DK608" s="1425"/>
      <c r="DL608" s="1425"/>
      <c r="DM608" s="1425">
        <f t="shared" si="15"/>
        <v>0</v>
      </c>
      <c r="DN608" s="1425"/>
      <c r="DO608" s="1425"/>
      <c r="DP608" s="1425"/>
      <c r="DQ608" s="1425"/>
      <c r="DR608" s="1425">
        <f t="shared" si="16"/>
        <v>0</v>
      </c>
      <c r="DS608" s="1425"/>
      <c r="DT608" s="1425"/>
      <c r="DU608" s="1425"/>
      <c r="DV608" s="1425"/>
      <c r="DX608" s="1421" t="str">
        <f t="shared" si="17"/>
        <v xml:space="preserve"> </v>
      </c>
      <c r="DY608" s="1422"/>
      <c r="DZ608" s="1422"/>
      <c r="EA608" s="1422"/>
      <c r="EB608" s="1423"/>
      <c r="EC608" s="1421" t="str">
        <f t="shared" si="18"/>
        <v xml:space="preserve"> </v>
      </c>
      <c r="ED608" s="1422"/>
      <c r="EE608" s="1422"/>
      <c r="EF608" s="1422"/>
      <c r="EG608" s="1423"/>
      <c r="EH608" s="1421" t="str">
        <f t="shared" si="19"/>
        <v xml:space="preserve"> </v>
      </c>
      <c r="EI608" s="1422"/>
      <c r="EJ608" s="1422"/>
      <c r="EK608" s="1422"/>
      <c r="EL608" s="1423"/>
      <c r="EM608" s="1421">
        <f t="shared" si="20"/>
        <v>1247</v>
      </c>
      <c r="EN608" s="1422"/>
      <c r="EO608" s="1422"/>
      <c r="EP608" s="1422"/>
      <c r="EQ608" s="1423"/>
      <c r="ER608" s="1421" t="str">
        <f t="shared" si="21"/>
        <v xml:space="preserve"> </v>
      </c>
      <c r="ES608" s="1422"/>
      <c r="ET608" s="1422"/>
      <c r="EU608" s="1422"/>
      <c r="EV608" s="1423"/>
      <c r="EW608" s="1421" t="str">
        <f t="shared" si="22"/>
        <v xml:space="preserve"> </v>
      </c>
      <c r="EX608" s="1422"/>
      <c r="EY608" s="1422"/>
      <c r="EZ608" s="1422"/>
      <c r="FA608" s="1423"/>
    </row>
    <row r="609" spans="1:157" ht="12.95" customHeight="1">
      <c r="B609" t="s">
        <v>317</v>
      </c>
      <c r="G609" s="1372"/>
      <c r="H609" s="1372"/>
      <c r="I609" s="1372"/>
      <c r="J609" s="1372"/>
      <c r="K609" s="1372"/>
      <c r="L609" s="1372"/>
      <c r="O609" s="33" t="s">
        <v>207</v>
      </c>
      <c r="P609" s="1350"/>
      <c r="Q609" s="1350"/>
      <c r="R609" s="1350"/>
      <c r="U609" t="s">
        <v>317</v>
      </c>
      <c r="Z609" s="1372"/>
      <c r="AA609" s="1372"/>
      <c r="AB609" s="1372"/>
      <c r="AC609" s="1372"/>
      <c r="AD609" s="1372"/>
      <c r="AE609" s="1372"/>
      <c r="AH609" s="33" t="s">
        <v>207</v>
      </c>
      <c r="AI609" s="1350"/>
      <c r="AJ609" s="1350"/>
      <c r="AK609" s="1350"/>
      <c r="AZ609" s="3"/>
      <c r="BA609" s="3"/>
      <c r="BB609" s="3"/>
      <c r="BC609" s="3"/>
      <c r="BD609" s="3"/>
      <c r="BE609" s="1421">
        <f t="shared" si="1"/>
        <v>0</v>
      </c>
      <c r="BF609" s="1423"/>
      <c r="BG609" s="1437">
        <f t="shared" si="2"/>
        <v>0</v>
      </c>
      <c r="BH609" s="1438"/>
      <c r="BI609" s="1421">
        <f t="shared" si="3"/>
        <v>0</v>
      </c>
      <c r="BJ609" s="1423"/>
      <c r="BK609" s="1437">
        <f t="shared" si="4"/>
        <v>0</v>
      </c>
      <c r="BL609" s="1438"/>
      <c r="BM609" s="3"/>
      <c r="BN609" s="1415">
        <f t="shared" si="5"/>
        <v>0</v>
      </c>
      <c r="BO609" s="1416"/>
      <c r="BP609" s="1416"/>
      <c r="BQ609" s="1416"/>
      <c r="BR609" s="1417"/>
      <c r="BS609" s="1424">
        <f t="shared" si="6"/>
        <v>0</v>
      </c>
      <c r="BT609" s="1424"/>
      <c r="BU609" s="1424"/>
      <c r="BV609" s="1424"/>
      <c r="BW609" s="1424"/>
      <c r="BX609" s="1424">
        <f t="shared" si="7"/>
        <v>0</v>
      </c>
      <c r="BY609" s="1424"/>
      <c r="BZ609" s="1424"/>
      <c r="CA609" s="1424"/>
      <c r="CB609" s="1424"/>
      <c r="CC609" s="1424">
        <f t="shared" si="8"/>
        <v>15</v>
      </c>
      <c r="CD609" s="1424"/>
      <c r="CE609" s="1424"/>
      <c r="CF609" s="1424"/>
      <c r="CG609" s="1424"/>
      <c r="CH609" s="1424">
        <f t="shared" si="9"/>
        <v>0</v>
      </c>
      <c r="CI609" s="1424"/>
      <c r="CJ609" s="1424"/>
      <c r="CK609" s="1424"/>
      <c r="CL609" s="1424"/>
      <c r="CM609" s="1424">
        <f t="shared" si="10"/>
        <v>0</v>
      </c>
      <c r="CN609" s="1424"/>
      <c r="CO609" s="1424"/>
      <c r="CP609" s="1424"/>
      <c r="CQ609" s="1424"/>
      <c r="CR609" s="6"/>
      <c r="CS609" s="1425">
        <f t="shared" si="11"/>
        <v>0</v>
      </c>
      <c r="CT609" s="1425"/>
      <c r="CU609" s="1425"/>
      <c r="CV609" s="1425"/>
      <c r="CW609" s="1425"/>
      <c r="CX609" s="1425">
        <f t="shared" si="12"/>
        <v>0</v>
      </c>
      <c r="CY609" s="1425"/>
      <c r="CZ609" s="1425"/>
      <c r="DA609" s="1425"/>
      <c r="DB609" s="1425"/>
      <c r="DC609" s="1425">
        <f t="shared" si="13"/>
        <v>0</v>
      </c>
      <c r="DD609" s="1425"/>
      <c r="DE609" s="1425"/>
      <c r="DF609" s="1425"/>
      <c r="DG609" s="1425"/>
      <c r="DH609" s="1425">
        <f t="shared" si="14"/>
        <v>0</v>
      </c>
      <c r="DI609" s="1425"/>
      <c r="DJ609" s="1425"/>
      <c r="DK609" s="1425"/>
      <c r="DL609" s="1425"/>
      <c r="DM609" s="1425">
        <f t="shared" si="15"/>
        <v>0</v>
      </c>
      <c r="DN609" s="1425"/>
      <c r="DO609" s="1425"/>
      <c r="DP609" s="1425"/>
      <c r="DQ609" s="1425"/>
      <c r="DR609" s="1425">
        <f t="shared" si="16"/>
        <v>0</v>
      </c>
      <c r="DS609" s="1425"/>
      <c r="DT609" s="1425"/>
      <c r="DU609" s="1425"/>
      <c r="DV609" s="1425"/>
      <c r="DX609" s="1421" t="str">
        <f t="shared" si="17"/>
        <v xml:space="preserve"> </v>
      </c>
      <c r="DY609" s="1422"/>
      <c r="DZ609" s="1422"/>
      <c r="EA609" s="1422"/>
      <c r="EB609" s="1423"/>
      <c r="EC609" s="1421" t="str">
        <f t="shared" si="18"/>
        <v xml:space="preserve"> </v>
      </c>
      <c r="ED609" s="1422"/>
      <c r="EE609" s="1422"/>
      <c r="EF609" s="1422"/>
      <c r="EG609" s="1423"/>
      <c r="EH609" s="1421" t="str">
        <f t="shared" si="19"/>
        <v xml:space="preserve"> </v>
      </c>
      <c r="EI609" s="1422"/>
      <c r="EJ609" s="1422"/>
      <c r="EK609" s="1422"/>
      <c r="EL609" s="1423"/>
      <c r="EM609" s="1421">
        <f t="shared" si="20"/>
        <v>1774</v>
      </c>
      <c r="EN609" s="1422"/>
      <c r="EO609" s="1422"/>
      <c r="EP609" s="1422"/>
      <c r="EQ609" s="1423"/>
      <c r="ER609" s="1421" t="str">
        <f t="shared" si="21"/>
        <v xml:space="preserve"> </v>
      </c>
      <c r="ES609" s="1422"/>
      <c r="ET609" s="1422"/>
      <c r="EU609" s="1422"/>
      <c r="EV609" s="1423"/>
      <c r="EW609" s="1421" t="str">
        <f t="shared" si="22"/>
        <v xml:space="preserve"> </v>
      </c>
      <c r="EX609" s="1422"/>
      <c r="EY609" s="1422"/>
      <c r="EZ609" s="1422"/>
      <c r="FA609" s="1423"/>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21">
        <f t="shared" si="1"/>
        <v>0</v>
      </c>
      <c r="BF610" s="1423"/>
      <c r="BG610" s="1437">
        <f t="shared" si="2"/>
        <v>0</v>
      </c>
      <c r="BH610" s="1438"/>
      <c r="BI610" s="1421">
        <f t="shared" si="3"/>
        <v>0</v>
      </c>
      <c r="BJ610" s="1423"/>
      <c r="BK610" s="1437">
        <f t="shared" si="4"/>
        <v>0</v>
      </c>
      <c r="BL610" s="1438"/>
      <c r="BM610" s="3"/>
      <c r="BN610" s="1415">
        <f t="shared" si="5"/>
        <v>0</v>
      </c>
      <c r="BO610" s="1416"/>
      <c r="BP610" s="1416"/>
      <c r="BQ610" s="1416"/>
      <c r="BR610" s="1417"/>
      <c r="BS610" s="1424">
        <f t="shared" si="6"/>
        <v>0</v>
      </c>
      <c r="BT610" s="1424"/>
      <c r="BU610" s="1424"/>
      <c r="BV610" s="1424"/>
      <c r="BW610" s="1424"/>
      <c r="BX610" s="1424">
        <f t="shared" si="7"/>
        <v>0</v>
      </c>
      <c r="BY610" s="1424"/>
      <c r="BZ610" s="1424"/>
      <c r="CA610" s="1424"/>
      <c r="CB610" s="1424"/>
      <c r="CC610" s="1424">
        <f t="shared" si="8"/>
        <v>1</v>
      </c>
      <c r="CD610" s="1424"/>
      <c r="CE610" s="1424"/>
      <c r="CF610" s="1424"/>
      <c r="CG610" s="1424"/>
      <c r="CH610" s="1424">
        <f t="shared" si="9"/>
        <v>0</v>
      </c>
      <c r="CI610" s="1424"/>
      <c r="CJ610" s="1424"/>
      <c r="CK610" s="1424"/>
      <c r="CL610" s="1424"/>
      <c r="CM610" s="1424">
        <f t="shared" si="10"/>
        <v>0</v>
      </c>
      <c r="CN610" s="1424"/>
      <c r="CO610" s="1424"/>
      <c r="CP610" s="1424"/>
      <c r="CQ610" s="1424"/>
      <c r="CR610" s="6"/>
      <c r="CS610" s="1425">
        <f t="shared" si="11"/>
        <v>0</v>
      </c>
      <c r="CT610" s="1425"/>
      <c r="CU610" s="1425"/>
      <c r="CV610" s="1425"/>
      <c r="CW610" s="1425"/>
      <c r="CX610" s="1425">
        <f t="shared" si="12"/>
        <v>0</v>
      </c>
      <c r="CY610" s="1425"/>
      <c r="CZ610" s="1425"/>
      <c r="DA610" s="1425"/>
      <c r="DB610" s="1425"/>
      <c r="DC610" s="1425">
        <f t="shared" si="13"/>
        <v>0</v>
      </c>
      <c r="DD610" s="1425"/>
      <c r="DE610" s="1425"/>
      <c r="DF610" s="1425"/>
      <c r="DG610" s="1425"/>
      <c r="DH610" s="1425">
        <f t="shared" si="14"/>
        <v>0</v>
      </c>
      <c r="DI610" s="1425"/>
      <c r="DJ610" s="1425"/>
      <c r="DK610" s="1425"/>
      <c r="DL610" s="1425"/>
      <c r="DM610" s="1425">
        <f t="shared" si="15"/>
        <v>0</v>
      </c>
      <c r="DN610" s="1425"/>
      <c r="DO610" s="1425"/>
      <c r="DP610" s="1425"/>
      <c r="DQ610" s="1425"/>
      <c r="DR610" s="1425">
        <f t="shared" si="16"/>
        <v>0</v>
      </c>
      <c r="DS610" s="1425"/>
      <c r="DT610" s="1425"/>
      <c r="DU610" s="1425"/>
      <c r="DV610" s="1425"/>
      <c r="DX610" s="1421" t="str">
        <f t="shared" si="17"/>
        <v xml:space="preserve"> </v>
      </c>
      <c r="DY610" s="1422"/>
      <c r="DZ610" s="1422"/>
      <c r="EA610" s="1422"/>
      <c r="EB610" s="1423"/>
      <c r="EC610" s="1421" t="str">
        <f t="shared" si="18"/>
        <v xml:space="preserve"> </v>
      </c>
      <c r="ED610" s="1422"/>
      <c r="EE610" s="1422"/>
      <c r="EF610" s="1422"/>
      <c r="EG610" s="1423"/>
      <c r="EH610" s="1421" t="str">
        <f t="shared" si="19"/>
        <v xml:space="preserve"> </v>
      </c>
      <c r="EI610" s="1422"/>
      <c r="EJ610" s="1422"/>
      <c r="EK610" s="1422"/>
      <c r="EL610" s="1423"/>
      <c r="EM610" s="1421">
        <f t="shared" si="20"/>
        <v>1991</v>
      </c>
      <c r="EN610" s="1422"/>
      <c r="EO610" s="1422"/>
      <c r="EP610" s="1422"/>
      <c r="EQ610" s="1423"/>
      <c r="ER610" s="1421" t="str">
        <f t="shared" si="21"/>
        <v xml:space="preserve"> </v>
      </c>
      <c r="ES610" s="1422"/>
      <c r="ET610" s="1422"/>
      <c r="EU610" s="1422"/>
      <c r="EV610" s="1423"/>
      <c r="EW610" s="1421" t="str">
        <f t="shared" si="22"/>
        <v xml:space="preserve"> </v>
      </c>
      <c r="EX610" s="1422"/>
      <c r="EY610" s="1422"/>
      <c r="EZ610" s="1422"/>
      <c r="FA610" s="1423"/>
    </row>
    <row r="611" spans="1:157" ht="12.95" customHeight="1">
      <c r="B611" t="s">
        <v>20</v>
      </c>
      <c r="N611" s="1370" t="s">
        <v>678</v>
      </c>
      <c r="O611" s="1370"/>
      <c r="U611" t="s">
        <v>20</v>
      </c>
      <c r="AG611" s="1370" t="s">
        <v>678</v>
      </c>
      <c r="AH611" s="1370"/>
      <c r="AZ611" s="3"/>
      <c r="BA611" s="3"/>
      <c r="BB611" s="3"/>
      <c r="BC611" s="3"/>
      <c r="BD611" s="3"/>
      <c r="BE611" s="1421">
        <f t="shared" si="1"/>
        <v>0</v>
      </c>
      <c r="BF611" s="1423"/>
      <c r="BG611" s="1437">
        <f t="shared" si="2"/>
        <v>0</v>
      </c>
      <c r="BH611" s="1438"/>
      <c r="BI611" s="1421">
        <f t="shared" si="3"/>
        <v>0</v>
      </c>
      <c r="BJ611" s="1423"/>
      <c r="BK611" s="1437">
        <f t="shared" si="4"/>
        <v>0</v>
      </c>
      <c r="BL611" s="1438"/>
      <c r="BM611" s="3"/>
      <c r="BN611" s="1415">
        <f t="shared" si="5"/>
        <v>0</v>
      </c>
      <c r="BO611" s="1416"/>
      <c r="BP611" s="1416"/>
      <c r="BQ611" s="1416"/>
      <c r="BR611" s="1417"/>
      <c r="BS611" s="1424">
        <f t="shared" si="6"/>
        <v>0</v>
      </c>
      <c r="BT611" s="1424"/>
      <c r="BU611" s="1424"/>
      <c r="BV611" s="1424"/>
      <c r="BW611" s="1424"/>
      <c r="BX611" s="1424">
        <f t="shared" si="7"/>
        <v>0</v>
      </c>
      <c r="BY611" s="1424"/>
      <c r="BZ611" s="1424"/>
      <c r="CA611" s="1424"/>
      <c r="CB611" s="1424"/>
      <c r="CC611" s="1424">
        <f t="shared" si="8"/>
        <v>0</v>
      </c>
      <c r="CD611" s="1424"/>
      <c r="CE611" s="1424"/>
      <c r="CF611" s="1424"/>
      <c r="CG611" s="1424"/>
      <c r="CH611" s="1424">
        <f t="shared" si="9"/>
        <v>0</v>
      </c>
      <c r="CI611" s="1424"/>
      <c r="CJ611" s="1424"/>
      <c r="CK611" s="1424"/>
      <c r="CL611" s="1424"/>
      <c r="CM611" s="1424">
        <f t="shared" si="10"/>
        <v>0</v>
      </c>
      <c r="CN611" s="1424"/>
      <c r="CO611" s="1424"/>
      <c r="CP611" s="1424"/>
      <c r="CQ611" s="1424"/>
      <c r="CR611" s="6"/>
      <c r="CS611" s="1425">
        <f t="shared" si="11"/>
        <v>0</v>
      </c>
      <c r="CT611" s="1425"/>
      <c r="CU611" s="1425"/>
      <c r="CV611" s="1425"/>
      <c r="CW611" s="1425"/>
      <c r="CX611" s="1425">
        <f t="shared" si="12"/>
        <v>0</v>
      </c>
      <c r="CY611" s="1425"/>
      <c r="CZ611" s="1425"/>
      <c r="DA611" s="1425"/>
      <c r="DB611" s="1425"/>
      <c r="DC611" s="1425">
        <f t="shared" si="13"/>
        <v>0</v>
      </c>
      <c r="DD611" s="1425"/>
      <c r="DE611" s="1425"/>
      <c r="DF611" s="1425"/>
      <c r="DG611" s="1425"/>
      <c r="DH611" s="1425">
        <f t="shared" si="14"/>
        <v>0</v>
      </c>
      <c r="DI611" s="1425"/>
      <c r="DJ611" s="1425"/>
      <c r="DK611" s="1425"/>
      <c r="DL611" s="1425"/>
      <c r="DM611" s="1425">
        <f t="shared" si="15"/>
        <v>0</v>
      </c>
      <c r="DN611" s="1425"/>
      <c r="DO611" s="1425"/>
      <c r="DP611" s="1425"/>
      <c r="DQ611" s="1425"/>
      <c r="DR611" s="1425">
        <f t="shared" si="16"/>
        <v>0</v>
      </c>
      <c r="DS611" s="1425"/>
      <c r="DT611" s="1425"/>
      <c r="DU611" s="1425"/>
      <c r="DV611" s="1425"/>
      <c r="DX611" s="1421" t="str">
        <f t="shared" si="17"/>
        <v xml:space="preserve"> </v>
      </c>
      <c r="DY611" s="1422"/>
      <c r="DZ611" s="1422"/>
      <c r="EA611" s="1422"/>
      <c r="EB611" s="1423"/>
      <c r="EC611" s="1421" t="str">
        <f t="shared" si="18"/>
        <v xml:space="preserve"> </v>
      </c>
      <c r="ED611" s="1422"/>
      <c r="EE611" s="1422"/>
      <c r="EF611" s="1422"/>
      <c r="EG611" s="1423"/>
      <c r="EH611" s="1421" t="str">
        <f t="shared" si="19"/>
        <v xml:space="preserve"> </v>
      </c>
      <c r="EI611" s="1422"/>
      <c r="EJ611" s="1422"/>
      <c r="EK611" s="1422"/>
      <c r="EL611" s="1423"/>
      <c r="EM611" s="1421" t="str">
        <f t="shared" si="20"/>
        <v xml:space="preserve"> </v>
      </c>
      <c r="EN611" s="1422"/>
      <c r="EO611" s="1422"/>
      <c r="EP611" s="1422"/>
      <c r="EQ611" s="1423"/>
      <c r="ER611" s="1421" t="str">
        <f t="shared" si="21"/>
        <v xml:space="preserve"> </v>
      </c>
      <c r="ES611" s="1422"/>
      <c r="ET611" s="1422"/>
      <c r="EU611" s="1422"/>
      <c r="EV611" s="1423"/>
      <c r="EW611" s="1421" t="str">
        <f t="shared" si="22"/>
        <v xml:space="preserve"> </v>
      </c>
      <c r="EX611" s="1422"/>
      <c r="EY611" s="1422"/>
      <c r="EZ611" s="1422"/>
      <c r="FA611" s="1423"/>
    </row>
    <row r="612" spans="1:157" ht="12.95" customHeight="1">
      <c r="AZ612" s="3"/>
      <c r="BA612" s="3"/>
      <c r="BB612" s="3"/>
      <c r="BC612" s="3"/>
      <c r="BD612" s="3"/>
      <c r="BE612" s="1421">
        <f t="shared" si="1"/>
        <v>0</v>
      </c>
      <c r="BF612" s="1423"/>
      <c r="BG612" s="1437">
        <f t="shared" si="2"/>
        <v>0</v>
      </c>
      <c r="BH612" s="1438"/>
      <c r="BI612" s="1421">
        <f t="shared" si="3"/>
        <v>0</v>
      </c>
      <c r="BJ612" s="1423"/>
      <c r="BK612" s="1437">
        <f t="shared" si="4"/>
        <v>0</v>
      </c>
      <c r="BL612" s="1438"/>
      <c r="BM612" s="3"/>
      <c r="BN612" s="1415">
        <f t="shared" si="5"/>
        <v>0</v>
      </c>
      <c r="BO612" s="1416"/>
      <c r="BP612" s="1416"/>
      <c r="BQ612" s="1416"/>
      <c r="BR612" s="1417"/>
      <c r="BS612" s="1424">
        <f t="shared" si="6"/>
        <v>0</v>
      </c>
      <c r="BT612" s="1424"/>
      <c r="BU612" s="1424"/>
      <c r="BV612" s="1424"/>
      <c r="BW612" s="1424"/>
      <c r="BX612" s="1424">
        <f t="shared" si="7"/>
        <v>0</v>
      </c>
      <c r="BY612" s="1424"/>
      <c r="BZ612" s="1424"/>
      <c r="CA612" s="1424"/>
      <c r="CB612" s="1424"/>
      <c r="CC612" s="1424">
        <f t="shared" si="8"/>
        <v>0</v>
      </c>
      <c r="CD612" s="1424"/>
      <c r="CE612" s="1424"/>
      <c r="CF612" s="1424"/>
      <c r="CG612" s="1424"/>
      <c r="CH612" s="1424">
        <f t="shared" si="9"/>
        <v>0</v>
      </c>
      <c r="CI612" s="1424"/>
      <c r="CJ612" s="1424"/>
      <c r="CK612" s="1424"/>
      <c r="CL612" s="1424"/>
      <c r="CM612" s="1424">
        <f t="shared" si="10"/>
        <v>0</v>
      </c>
      <c r="CN612" s="1424"/>
      <c r="CO612" s="1424"/>
      <c r="CP612" s="1424"/>
      <c r="CQ612" s="1424"/>
      <c r="CR612" s="6"/>
      <c r="CS612" s="1425">
        <f t="shared" si="11"/>
        <v>0</v>
      </c>
      <c r="CT612" s="1425"/>
      <c r="CU612" s="1425"/>
      <c r="CV612" s="1425"/>
      <c r="CW612" s="1425"/>
      <c r="CX612" s="1425">
        <f t="shared" si="12"/>
        <v>0</v>
      </c>
      <c r="CY612" s="1425"/>
      <c r="CZ612" s="1425"/>
      <c r="DA612" s="1425"/>
      <c r="DB612" s="1425"/>
      <c r="DC612" s="1425">
        <f t="shared" si="13"/>
        <v>0</v>
      </c>
      <c r="DD612" s="1425"/>
      <c r="DE612" s="1425"/>
      <c r="DF612" s="1425"/>
      <c r="DG612" s="1425"/>
      <c r="DH612" s="1425">
        <f t="shared" si="14"/>
        <v>0</v>
      </c>
      <c r="DI612" s="1425"/>
      <c r="DJ612" s="1425"/>
      <c r="DK612" s="1425"/>
      <c r="DL612" s="1425"/>
      <c r="DM612" s="1425">
        <f t="shared" si="15"/>
        <v>0</v>
      </c>
      <c r="DN612" s="1425"/>
      <c r="DO612" s="1425"/>
      <c r="DP612" s="1425"/>
      <c r="DQ612" s="1425"/>
      <c r="DR612" s="1425">
        <f t="shared" si="16"/>
        <v>0</v>
      </c>
      <c r="DS612" s="1425"/>
      <c r="DT612" s="1425"/>
      <c r="DU612" s="1425"/>
      <c r="DV612" s="1425"/>
      <c r="DX612" s="1421" t="str">
        <f t="shared" si="17"/>
        <v xml:space="preserve"> </v>
      </c>
      <c r="DY612" s="1422"/>
      <c r="DZ612" s="1422"/>
      <c r="EA612" s="1422"/>
      <c r="EB612" s="1423"/>
      <c r="EC612" s="1421" t="str">
        <f t="shared" si="18"/>
        <v xml:space="preserve"> </v>
      </c>
      <c r="ED612" s="1422"/>
      <c r="EE612" s="1422"/>
      <c r="EF612" s="1422"/>
      <c r="EG612" s="1423"/>
      <c r="EH612" s="1421" t="str">
        <f t="shared" si="19"/>
        <v xml:space="preserve"> </v>
      </c>
      <c r="EI612" s="1422"/>
      <c r="EJ612" s="1422"/>
      <c r="EK612" s="1422"/>
      <c r="EL612" s="1423"/>
      <c r="EM612" s="1421" t="str">
        <f t="shared" si="20"/>
        <v xml:space="preserve"> </v>
      </c>
      <c r="EN612" s="1422"/>
      <c r="EO612" s="1422"/>
      <c r="EP612" s="1422"/>
      <c r="EQ612" s="1423"/>
      <c r="ER612" s="1421" t="str">
        <f t="shared" si="21"/>
        <v xml:space="preserve"> </v>
      </c>
      <c r="ES612" s="1422"/>
      <c r="ET612" s="1422"/>
      <c r="EU612" s="1422"/>
      <c r="EV612" s="1423"/>
      <c r="EW612" s="1421" t="str">
        <f t="shared" si="22"/>
        <v xml:space="preserve"> </v>
      </c>
      <c r="EX612" s="1422"/>
      <c r="EY612" s="1422"/>
      <c r="EZ612" s="1422"/>
      <c r="FA612" s="1423"/>
    </row>
    <row r="613" spans="1:157" ht="12.95"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21">
        <f t="shared" si="1"/>
        <v>0</v>
      </c>
      <c r="BF613" s="1423"/>
      <c r="BG613" s="1437">
        <f t="shared" si="2"/>
        <v>0</v>
      </c>
      <c r="BH613" s="1438"/>
      <c r="BI613" s="1421">
        <f t="shared" si="3"/>
        <v>0</v>
      </c>
      <c r="BJ613" s="1423"/>
      <c r="BK613" s="1437">
        <f t="shared" si="4"/>
        <v>0</v>
      </c>
      <c r="BL613" s="1438"/>
      <c r="BM613" s="3"/>
      <c r="BN613" s="1415">
        <f t="shared" si="5"/>
        <v>0</v>
      </c>
      <c r="BO613" s="1416"/>
      <c r="BP613" s="1416"/>
      <c r="BQ613" s="1416"/>
      <c r="BR613" s="1417"/>
      <c r="BS613" s="1424">
        <f t="shared" si="6"/>
        <v>0</v>
      </c>
      <c r="BT613" s="1424"/>
      <c r="BU613" s="1424"/>
      <c r="BV613" s="1424"/>
      <c r="BW613" s="1424"/>
      <c r="BX613" s="1424">
        <f t="shared" si="7"/>
        <v>0</v>
      </c>
      <c r="BY613" s="1424"/>
      <c r="BZ613" s="1424"/>
      <c r="CA613" s="1424"/>
      <c r="CB613" s="1424"/>
      <c r="CC613" s="1424">
        <f t="shared" si="8"/>
        <v>0</v>
      </c>
      <c r="CD613" s="1424"/>
      <c r="CE613" s="1424"/>
      <c r="CF613" s="1424"/>
      <c r="CG613" s="1424"/>
      <c r="CH613" s="1424">
        <f t="shared" si="9"/>
        <v>0</v>
      </c>
      <c r="CI613" s="1424"/>
      <c r="CJ613" s="1424"/>
      <c r="CK613" s="1424"/>
      <c r="CL613" s="1424"/>
      <c r="CM613" s="1424">
        <f t="shared" si="10"/>
        <v>0</v>
      </c>
      <c r="CN613" s="1424"/>
      <c r="CO613" s="1424"/>
      <c r="CP613" s="1424"/>
      <c r="CQ613" s="1424"/>
      <c r="CR613" s="6"/>
      <c r="CS613" s="1425">
        <f t="shared" si="11"/>
        <v>0</v>
      </c>
      <c r="CT613" s="1425"/>
      <c r="CU613" s="1425"/>
      <c r="CV613" s="1425"/>
      <c r="CW613" s="1425"/>
      <c r="CX613" s="1425">
        <f t="shared" si="12"/>
        <v>0</v>
      </c>
      <c r="CY613" s="1425"/>
      <c r="CZ613" s="1425"/>
      <c r="DA613" s="1425"/>
      <c r="DB613" s="1425"/>
      <c r="DC613" s="1425">
        <f t="shared" si="13"/>
        <v>0</v>
      </c>
      <c r="DD613" s="1425"/>
      <c r="DE613" s="1425"/>
      <c r="DF613" s="1425"/>
      <c r="DG613" s="1425"/>
      <c r="DH613" s="1425">
        <f t="shared" si="14"/>
        <v>0</v>
      </c>
      <c r="DI613" s="1425"/>
      <c r="DJ613" s="1425"/>
      <c r="DK613" s="1425"/>
      <c r="DL613" s="1425"/>
      <c r="DM613" s="1425">
        <f t="shared" si="15"/>
        <v>0</v>
      </c>
      <c r="DN613" s="1425"/>
      <c r="DO613" s="1425"/>
      <c r="DP613" s="1425"/>
      <c r="DQ613" s="1425"/>
      <c r="DR613" s="1425">
        <f t="shared" si="16"/>
        <v>0</v>
      </c>
      <c r="DS613" s="1425"/>
      <c r="DT613" s="1425"/>
      <c r="DU613" s="1425"/>
      <c r="DV613" s="1425"/>
      <c r="DX613" s="1421" t="str">
        <f t="shared" si="17"/>
        <v xml:space="preserve"> </v>
      </c>
      <c r="DY613" s="1422"/>
      <c r="DZ613" s="1422"/>
      <c r="EA613" s="1422"/>
      <c r="EB613" s="1423"/>
      <c r="EC613" s="1421" t="str">
        <f t="shared" si="18"/>
        <v xml:space="preserve"> </v>
      </c>
      <c r="ED613" s="1422"/>
      <c r="EE613" s="1422"/>
      <c r="EF613" s="1422"/>
      <c r="EG613" s="1423"/>
      <c r="EH613" s="1421" t="str">
        <f t="shared" si="19"/>
        <v xml:space="preserve"> </v>
      </c>
      <c r="EI613" s="1422"/>
      <c r="EJ613" s="1422"/>
      <c r="EK613" s="1422"/>
      <c r="EL613" s="1423"/>
      <c r="EM613" s="1421" t="str">
        <f t="shared" si="20"/>
        <v xml:space="preserve"> </v>
      </c>
      <c r="EN613" s="1422"/>
      <c r="EO613" s="1422"/>
      <c r="EP613" s="1422"/>
      <c r="EQ613" s="1423"/>
      <c r="ER613" s="1421" t="str">
        <f t="shared" si="21"/>
        <v xml:space="preserve"> </v>
      </c>
      <c r="ES613" s="1422"/>
      <c r="ET613" s="1422"/>
      <c r="EU613" s="1422"/>
      <c r="EV613" s="1423"/>
      <c r="EW613" s="1421" t="str">
        <f t="shared" si="22"/>
        <v xml:space="preserve"> </v>
      </c>
      <c r="EX613" s="1422"/>
      <c r="EY613" s="1422"/>
      <c r="EZ613" s="1422"/>
      <c r="FA613" s="1423"/>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21">
        <f t="shared" si="1"/>
        <v>0</v>
      </c>
      <c r="BF614" s="1423"/>
      <c r="BG614" s="1437">
        <f t="shared" si="2"/>
        <v>0</v>
      </c>
      <c r="BH614" s="1438"/>
      <c r="BI614" s="1421">
        <f t="shared" si="3"/>
        <v>0</v>
      </c>
      <c r="BJ614" s="1423"/>
      <c r="BK614" s="1437">
        <f t="shared" si="4"/>
        <v>0</v>
      </c>
      <c r="BL614" s="1438"/>
      <c r="BM614" s="3"/>
      <c r="BN614" s="1415">
        <f t="shared" si="5"/>
        <v>0</v>
      </c>
      <c r="BO614" s="1416"/>
      <c r="BP614" s="1416"/>
      <c r="BQ614" s="1416"/>
      <c r="BR614" s="1417"/>
      <c r="BS614" s="1424">
        <f t="shared" si="6"/>
        <v>0</v>
      </c>
      <c r="BT614" s="1424"/>
      <c r="BU614" s="1424"/>
      <c r="BV614" s="1424"/>
      <c r="BW614" s="1424"/>
      <c r="BX614" s="1424">
        <f t="shared" si="7"/>
        <v>0</v>
      </c>
      <c r="BY614" s="1424"/>
      <c r="BZ614" s="1424"/>
      <c r="CA614" s="1424"/>
      <c r="CB614" s="1424"/>
      <c r="CC614" s="1424">
        <f t="shared" si="8"/>
        <v>0</v>
      </c>
      <c r="CD614" s="1424"/>
      <c r="CE614" s="1424"/>
      <c r="CF614" s="1424"/>
      <c r="CG614" s="1424"/>
      <c r="CH614" s="1424">
        <f t="shared" si="9"/>
        <v>0</v>
      </c>
      <c r="CI614" s="1424"/>
      <c r="CJ614" s="1424"/>
      <c r="CK614" s="1424"/>
      <c r="CL614" s="1424"/>
      <c r="CM614" s="1424">
        <f t="shared" si="10"/>
        <v>0</v>
      </c>
      <c r="CN614" s="1424"/>
      <c r="CO614" s="1424"/>
      <c r="CP614" s="1424"/>
      <c r="CQ614" s="1424"/>
      <c r="CR614" s="6"/>
      <c r="CS614" s="1425">
        <f t="shared" si="11"/>
        <v>0</v>
      </c>
      <c r="CT614" s="1425"/>
      <c r="CU614" s="1425"/>
      <c r="CV614" s="1425"/>
      <c r="CW614" s="1425"/>
      <c r="CX614" s="1425">
        <f t="shared" si="12"/>
        <v>0</v>
      </c>
      <c r="CY614" s="1425"/>
      <c r="CZ614" s="1425"/>
      <c r="DA614" s="1425"/>
      <c r="DB614" s="1425"/>
      <c r="DC614" s="1425">
        <f t="shared" si="13"/>
        <v>0</v>
      </c>
      <c r="DD614" s="1425"/>
      <c r="DE614" s="1425"/>
      <c r="DF614" s="1425"/>
      <c r="DG614" s="1425"/>
      <c r="DH614" s="1425">
        <f t="shared" si="14"/>
        <v>0</v>
      </c>
      <c r="DI614" s="1425"/>
      <c r="DJ614" s="1425"/>
      <c r="DK614" s="1425"/>
      <c r="DL614" s="1425"/>
      <c r="DM614" s="1425">
        <f t="shared" si="15"/>
        <v>0</v>
      </c>
      <c r="DN614" s="1425"/>
      <c r="DO614" s="1425"/>
      <c r="DP614" s="1425"/>
      <c r="DQ614" s="1425"/>
      <c r="DR614" s="1425">
        <f t="shared" si="16"/>
        <v>0</v>
      </c>
      <c r="DS614" s="1425"/>
      <c r="DT614" s="1425"/>
      <c r="DU614" s="1425"/>
      <c r="DV614" s="1425"/>
      <c r="DX614" s="1421" t="str">
        <f t="shared" si="17"/>
        <v xml:space="preserve"> </v>
      </c>
      <c r="DY614" s="1422"/>
      <c r="DZ614" s="1422"/>
      <c r="EA614" s="1422"/>
      <c r="EB614" s="1423"/>
      <c r="EC614" s="1421" t="str">
        <f t="shared" si="18"/>
        <v xml:space="preserve"> </v>
      </c>
      <c r="ED614" s="1422"/>
      <c r="EE614" s="1422"/>
      <c r="EF614" s="1422"/>
      <c r="EG614" s="1423"/>
      <c r="EH614" s="1421" t="str">
        <f t="shared" si="19"/>
        <v xml:space="preserve"> </v>
      </c>
      <c r="EI614" s="1422"/>
      <c r="EJ614" s="1422"/>
      <c r="EK614" s="1422"/>
      <c r="EL614" s="1423"/>
      <c r="EM614" s="1421" t="str">
        <f t="shared" si="20"/>
        <v xml:space="preserve"> </v>
      </c>
      <c r="EN614" s="1422"/>
      <c r="EO614" s="1422"/>
      <c r="EP614" s="1422"/>
      <c r="EQ614" s="1423"/>
      <c r="ER614" s="1421" t="str">
        <f t="shared" si="21"/>
        <v xml:space="preserve"> </v>
      </c>
      <c r="ES614" s="1422"/>
      <c r="ET614" s="1422"/>
      <c r="EU614" s="1422"/>
      <c r="EV614" s="1423"/>
      <c r="EW614" s="1421" t="str">
        <f t="shared" si="22"/>
        <v xml:space="preserve"> </v>
      </c>
      <c r="EX614" s="1422"/>
      <c r="EY614" s="1422"/>
      <c r="EZ614" s="1422"/>
      <c r="FA614" s="1423"/>
    </row>
    <row r="615" spans="1:157" ht="12.95" customHeight="1">
      <c r="AZ615" s="3"/>
      <c r="BA615" s="3"/>
      <c r="BB615" s="3"/>
      <c r="BC615" s="3"/>
      <c r="BD615" s="3"/>
      <c r="BE615" s="1421">
        <f t="shared" si="1"/>
        <v>0</v>
      </c>
      <c r="BF615" s="1423"/>
      <c r="BG615" s="1437">
        <f t="shared" si="2"/>
        <v>0</v>
      </c>
      <c r="BH615" s="1438"/>
      <c r="BI615" s="1421">
        <f t="shared" si="3"/>
        <v>0</v>
      </c>
      <c r="BJ615" s="1423"/>
      <c r="BK615" s="1437">
        <f t="shared" si="4"/>
        <v>0</v>
      </c>
      <c r="BL615" s="1438"/>
      <c r="BM615" s="3"/>
      <c r="BN615" s="1415">
        <f t="shared" si="5"/>
        <v>0</v>
      </c>
      <c r="BO615" s="1416"/>
      <c r="BP615" s="1416"/>
      <c r="BQ615" s="1416"/>
      <c r="BR615" s="1417"/>
      <c r="BS615" s="1424">
        <f t="shared" si="6"/>
        <v>0</v>
      </c>
      <c r="BT615" s="1424"/>
      <c r="BU615" s="1424"/>
      <c r="BV615" s="1424"/>
      <c r="BW615" s="1424"/>
      <c r="BX615" s="1424">
        <f t="shared" si="7"/>
        <v>0</v>
      </c>
      <c r="BY615" s="1424"/>
      <c r="BZ615" s="1424"/>
      <c r="CA615" s="1424"/>
      <c r="CB615" s="1424"/>
      <c r="CC615" s="1424">
        <f t="shared" si="8"/>
        <v>0</v>
      </c>
      <c r="CD615" s="1424"/>
      <c r="CE615" s="1424"/>
      <c r="CF615" s="1424"/>
      <c r="CG615" s="1424"/>
      <c r="CH615" s="1424">
        <f t="shared" si="9"/>
        <v>0</v>
      </c>
      <c r="CI615" s="1424"/>
      <c r="CJ615" s="1424"/>
      <c r="CK615" s="1424"/>
      <c r="CL615" s="1424"/>
      <c r="CM615" s="1424">
        <f t="shared" si="10"/>
        <v>0</v>
      </c>
      <c r="CN615" s="1424"/>
      <c r="CO615" s="1424"/>
      <c r="CP615" s="1424"/>
      <c r="CQ615" s="1424"/>
      <c r="CR615" s="6"/>
      <c r="CS615" s="1425">
        <f t="shared" si="11"/>
        <v>0</v>
      </c>
      <c r="CT615" s="1425"/>
      <c r="CU615" s="1425"/>
      <c r="CV615" s="1425"/>
      <c r="CW615" s="1425"/>
      <c r="CX615" s="1425">
        <f t="shared" si="12"/>
        <v>0</v>
      </c>
      <c r="CY615" s="1425"/>
      <c r="CZ615" s="1425"/>
      <c r="DA615" s="1425"/>
      <c r="DB615" s="1425"/>
      <c r="DC615" s="1425">
        <f t="shared" si="13"/>
        <v>0</v>
      </c>
      <c r="DD615" s="1425"/>
      <c r="DE615" s="1425"/>
      <c r="DF615" s="1425"/>
      <c r="DG615" s="1425"/>
      <c r="DH615" s="1425">
        <f t="shared" si="14"/>
        <v>0</v>
      </c>
      <c r="DI615" s="1425"/>
      <c r="DJ615" s="1425"/>
      <c r="DK615" s="1425"/>
      <c r="DL615" s="1425"/>
      <c r="DM615" s="1425">
        <f t="shared" si="15"/>
        <v>0</v>
      </c>
      <c r="DN615" s="1425"/>
      <c r="DO615" s="1425"/>
      <c r="DP615" s="1425"/>
      <c r="DQ615" s="1425"/>
      <c r="DR615" s="1425">
        <f t="shared" si="16"/>
        <v>0</v>
      </c>
      <c r="DS615" s="1425"/>
      <c r="DT615" s="1425"/>
      <c r="DU615" s="1425"/>
      <c r="DV615" s="1425"/>
      <c r="DX615" s="1421" t="str">
        <f t="shared" si="17"/>
        <v xml:space="preserve"> </v>
      </c>
      <c r="DY615" s="1422"/>
      <c r="DZ615" s="1422"/>
      <c r="EA615" s="1422"/>
      <c r="EB615" s="1423"/>
      <c r="EC615" s="1421" t="str">
        <f t="shared" si="18"/>
        <v xml:space="preserve"> </v>
      </c>
      <c r="ED615" s="1422"/>
      <c r="EE615" s="1422"/>
      <c r="EF615" s="1422"/>
      <c r="EG615" s="1423"/>
      <c r="EH615" s="1421" t="str">
        <f t="shared" si="19"/>
        <v xml:space="preserve"> </v>
      </c>
      <c r="EI615" s="1422"/>
      <c r="EJ615" s="1422"/>
      <c r="EK615" s="1422"/>
      <c r="EL615" s="1423"/>
      <c r="EM615" s="1421" t="str">
        <f t="shared" si="20"/>
        <v xml:space="preserve"> </v>
      </c>
      <c r="EN615" s="1422"/>
      <c r="EO615" s="1422"/>
      <c r="EP615" s="1422"/>
      <c r="EQ615" s="1423"/>
      <c r="ER615" s="1421" t="str">
        <f t="shared" si="21"/>
        <v xml:space="preserve"> </v>
      </c>
      <c r="ES615" s="1422"/>
      <c r="ET615" s="1422"/>
      <c r="EU615" s="1422"/>
      <c r="EV615" s="1423"/>
      <c r="EW615" s="1421" t="str">
        <f t="shared" si="22"/>
        <v xml:space="preserve"> </v>
      </c>
      <c r="EX615" s="1422"/>
      <c r="EY615" s="1422"/>
      <c r="EZ615" s="1422"/>
      <c r="FA615" s="1423"/>
    </row>
    <row r="616" spans="1:157" ht="12.95" customHeight="1">
      <c r="A616" s="2" t="s">
        <v>320</v>
      </c>
      <c r="B616" s="2"/>
      <c r="C616" s="2" t="s">
        <v>21</v>
      </c>
      <c r="AZ616" s="3"/>
      <c r="BA616" s="3"/>
      <c r="BB616" s="3"/>
      <c r="BC616" s="3"/>
      <c r="BD616" s="3"/>
      <c r="BE616" s="1421">
        <f t="shared" si="1"/>
        <v>0</v>
      </c>
      <c r="BF616" s="1423"/>
      <c r="BG616" s="1437">
        <f t="shared" si="2"/>
        <v>0</v>
      </c>
      <c r="BH616" s="1438"/>
      <c r="BI616" s="1421">
        <f t="shared" si="3"/>
        <v>0</v>
      </c>
      <c r="BJ616" s="1423"/>
      <c r="BK616" s="1437">
        <f t="shared" si="4"/>
        <v>0</v>
      </c>
      <c r="BL616" s="1438"/>
      <c r="BM616" s="3"/>
      <c r="BN616" s="1415">
        <f t="shared" si="5"/>
        <v>0</v>
      </c>
      <c r="BO616" s="1416"/>
      <c r="BP616" s="1416"/>
      <c r="BQ616" s="1416"/>
      <c r="BR616" s="1417"/>
      <c r="BS616" s="1424">
        <f t="shared" si="6"/>
        <v>0</v>
      </c>
      <c r="BT616" s="1424"/>
      <c r="BU616" s="1424"/>
      <c r="BV616" s="1424"/>
      <c r="BW616" s="1424"/>
      <c r="BX616" s="1424">
        <f t="shared" si="7"/>
        <v>0</v>
      </c>
      <c r="BY616" s="1424"/>
      <c r="BZ616" s="1424"/>
      <c r="CA616" s="1424"/>
      <c r="CB616" s="1424"/>
      <c r="CC616" s="1424">
        <f t="shared" si="8"/>
        <v>0</v>
      </c>
      <c r="CD616" s="1424"/>
      <c r="CE616" s="1424"/>
      <c r="CF616" s="1424"/>
      <c r="CG616" s="1424"/>
      <c r="CH616" s="1424">
        <f t="shared" si="9"/>
        <v>0</v>
      </c>
      <c r="CI616" s="1424"/>
      <c r="CJ616" s="1424"/>
      <c r="CK616" s="1424"/>
      <c r="CL616" s="1424"/>
      <c r="CM616" s="1424">
        <f t="shared" si="10"/>
        <v>0</v>
      </c>
      <c r="CN616" s="1424"/>
      <c r="CO616" s="1424"/>
      <c r="CP616" s="1424"/>
      <c r="CQ616" s="1424"/>
      <c r="CR616" s="6"/>
      <c r="CS616" s="1425">
        <f t="shared" si="11"/>
        <v>0</v>
      </c>
      <c r="CT616" s="1425"/>
      <c r="CU616" s="1425"/>
      <c r="CV616" s="1425"/>
      <c r="CW616" s="1425"/>
      <c r="CX616" s="1425">
        <f t="shared" si="12"/>
        <v>0</v>
      </c>
      <c r="CY616" s="1425"/>
      <c r="CZ616" s="1425"/>
      <c r="DA616" s="1425"/>
      <c r="DB616" s="1425"/>
      <c r="DC616" s="1425">
        <f t="shared" si="13"/>
        <v>0</v>
      </c>
      <c r="DD616" s="1425"/>
      <c r="DE616" s="1425"/>
      <c r="DF616" s="1425"/>
      <c r="DG616" s="1425"/>
      <c r="DH616" s="1425">
        <f t="shared" si="14"/>
        <v>0</v>
      </c>
      <c r="DI616" s="1425"/>
      <c r="DJ616" s="1425"/>
      <c r="DK616" s="1425"/>
      <c r="DL616" s="1425"/>
      <c r="DM616" s="1425">
        <f t="shared" si="15"/>
        <v>0</v>
      </c>
      <c r="DN616" s="1425"/>
      <c r="DO616" s="1425"/>
      <c r="DP616" s="1425"/>
      <c r="DQ616" s="1425"/>
      <c r="DR616" s="1425">
        <f t="shared" si="16"/>
        <v>0</v>
      </c>
      <c r="DS616" s="1425"/>
      <c r="DT616" s="1425"/>
      <c r="DU616" s="1425"/>
      <c r="DV616" s="1425"/>
      <c r="DX616" s="1421" t="str">
        <f t="shared" si="17"/>
        <v xml:space="preserve"> </v>
      </c>
      <c r="DY616" s="1422"/>
      <c r="DZ616" s="1422"/>
      <c r="EA616" s="1422"/>
      <c r="EB616" s="1423"/>
      <c r="EC616" s="1421" t="str">
        <f t="shared" si="18"/>
        <v xml:space="preserve"> </v>
      </c>
      <c r="ED616" s="1422"/>
      <c r="EE616" s="1422"/>
      <c r="EF616" s="1422"/>
      <c r="EG616" s="1423"/>
      <c r="EH616" s="1421" t="str">
        <f t="shared" si="19"/>
        <v xml:space="preserve"> </v>
      </c>
      <c r="EI616" s="1422"/>
      <c r="EJ616" s="1422"/>
      <c r="EK616" s="1422"/>
      <c r="EL616" s="1423"/>
      <c r="EM616" s="1421" t="str">
        <f t="shared" si="20"/>
        <v xml:space="preserve"> </v>
      </c>
      <c r="EN616" s="1422"/>
      <c r="EO616" s="1422"/>
      <c r="EP616" s="1422"/>
      <c r="EQ616" s="1423"/>
      <c r="ER616" s="1421" t="str">
        <f t="shared" si="21"/>
        <v xml:space="preserve"> </v>
      </c>
      <c r="ES616" s="1422"/>
      <c r="ET616" s="1422"/>
      <c r="EU616" s="1422"/>
      <c r="EV616" s="1423"/>
      <c r="EW616" s="1421" t="str">
        <f t="shared" si="22"/>
        <v xml:space="preserve"> </v>
      </c>
      <c r="EX616" s="1422"/>
      <c r="EY616" s="1422"/>
      <c r="EZ616" s="1422"/>
      <c r="FA616" s="1423"/>
    </row>
    <row r="617" spans="1:157" ht="12.95" customHeight="1">
      <c r="A617" s="2"/>
      <c r="B617" s="2"/>
      <c r="C617" s="2"/>
      <c r="AZ617" s="3"/>
      <c r="BA617" s="3"/>
      <c r="BB617" s="3"/>
      <c r="BC617" s="3"/>
      <c r="BD617" s="3"/>
      <c r="BE617" s="1421">
        <f t="shared" si="1"/>
        <v>0</v>
      </c>
      <c r="BF617" s="1423"/>
      <c r="BG617" s="1437">
        <f t="shared" si="2"/>
        <v>0</v>
      </c>
      <c r="BH617" s="1438"/>
      <c r="BI617" s="1421">
        <f t="shared" si="3"/>
        <v>0</v>
      </c>
      <c r="BJ617" s="1423"/>
      <c r="BK617" s="1437">
        <f t="shared" si="4"/>
        <v>0</v>
      </c>
      <c r="BL617" s="1438"/>
      <c r="BM617" s="3"/>
      <c r="BN617" s="1415">
        <f t="shared" si="5"/>
        <v>0</v>
      </c>
      <c r="BO617" s="1416"/>
      <c r="BP617" s="1416"/>
      <c r="BQ617" s="1416"/>
      <c r="BR617" s="1417"/>
      <c r="BS617" s="1424">
        <f t="shared" si="6"/>
        <v>0</v>
      </c>
      <c r="BT617" s="1424"/>
      <c r="BU617" s="1424"/>
      <c r="BV617" s="1424"/>
      <c r="BW617" s="1424"/>
      <c r="BX617" s="1424">
        <f t="shared" si="7"/>
        <v>0</v>
      </c>
      <c r="BY617" s="1424"/>
      <c r="BZ617" s="1424"/>
      <c r="CA617" s="1424"/>
      <c r="CB617" s="1424"/>
      <c r="CC617" s="1424">
        <f t="shared" si="8"/>
        <v>0</v>
      </c>
      <c r="CD617" s="1424"/>
      <c r="CE617" s="1424"/>
      <c r="CF617" s="1424"/>
      <c r="CG617" s="1424"/>
      <c r="CH617" s="1424">
        <f t="shared" si="9"/>
        <v>0</v>
      </c>
      <c r="CI617" s="1424"/>
      <c r="CJ617" s="1424"/>
      <c r="CK617" s="1424"/>
      <c r="CL617" s="1424"/>
      <c r="CM617" s="1424">
        <f t="shared" si="10"/>
        <v>0</v>
      </c>
      <c r="CN617" s="1424"/>
      <c r="CO617" s="1424"/>
      <c r="CP617" s="1424"/>
      <c r="CQ617" s="1424"/>
      <c r="CR617" s="6"/>
      <c r="CS617" s="1425">
        <f t="shared" si="11"/>
        <v>0</v>
      </c>
      <c r="CT617" s="1425"/>
      <c r="CU617" s="1425"/>
      <c r="CV617" s="1425"/>
      <c r="CW617" s="1425"/>
      <c r="CX617" s="1425">
        <f t="shared" si="12"/>
        <v>0</v>
      </c>
      <c r="CY617" s="1425"/>
      <c r="CZ617" s="1425"/>
      <c r="DA617" s="1425"/>
      <c r="DB617" s="1425"/>
      <c r="DC617" s="1425">
        <f t="shared" si="13"/>
        <v>0</v>
      </c>
      <c r="DD617" s="1425"/>
      <c r="DE617" s="1425"/>
      <c r="DF617" s="1425"/>
      <c r="DG617" s="1425"/>
      <c r="DH617" s="1425">
        <f t="shared" si="14"/>
        <v>0</v>
      </c>
      <c r="DI617" s="1425"/>
      <c r="DJ617" s="1425"/>
      <c r="DK617" s="1425"/>
      <c r="DL617" s="1425"/>
      <c r="DM617" s="1425">
        <f t="shared" si="15"/>
        <v>0</v>
      </c>
      <c r="DN617" s="1425"/>
      <c r="DO617" s="1425"/>
      <c r="DP617" s="1425"/>
      <c r="DQ617" s="1425"/>
      <c r="DR617" s="1425">
        <f t="shared" si="16"/>
        <v>0</v>
      </c>
      <c r="DS617" s="1425"/>
      <c r="DT617" s="1425"/>
      <c r="DU617" s="1425"/>
      <c r="DV617" s="1425"/>
      <c r="DX617" s="1421" t="str">
        <f t="shared" si="17"/>
        <v xml:space="preserve"> </v>
      </c>
      <c r="DY617" s="1422"/>
      <c r="DZ617" s="1422"/>
      <c r="EA617" s="1422"/>
      <c r="EB617" s="1423"/>
      <c r="EC617" s="1421" t="str">
        <f t="shared" si="18"/>
        <v xml:space="preserve"> </v>
      </c>
      <c r="ED617" s="1422"/>
      <c r="EE617" s="1422"/>
      <c r="EF617" s="1422"/>
      <c r="EG617" s="1423"/>
      <c r="EH617" s="1421" t="str">
        <f t="shared" si="19"/>
        <v xml:space="preserve"> </v>
      </c>
      <c r="EI617" s="1422"/>
      <c r="EJ617" s="1422"/>
      <c r="EK617" s="1422"/>
      <c r="EL617" s="1423"/>
      <c r="EM617" s="1421" t="str">
        <f t="shared" si="20"/>
        <v xml:space="preserve"> </v>
      </c>
      <c r="EN617" s="1422"/>
      <c r="EO617" s="1422"/>
      <c r="EP617" s="1422"/>
      <c r="EQ617" s="1423"/>
      <c r="ER617" s="1421" t="str">
        <f t="shared" si="21"/>
        <v xml:space="preserve"> </v>
      </c>
      <c r="ES617" s="1422"/>
      <c r="ET617" s="1422"/>
      <c r="EU617" s="1422"/>
      <c r="EV617" s="1423"/>
      <c r="EW617" s="1421" t="str">
        <f t="shared" si="22"/>
        <v xml:space="preserve"> </v>
      </c>
      <c r="EX617" s="1422"/>
      <c r="EY617" s="1422"/>
      <c r="EZ617" s="1422"/>
      <c r="FA617" s="1423"/>
    </row>
    <row r="618" spans="1:157" ht="12.95" customHeight="1">
      <c r="C618" s="2" t="s">
        <v>2528</v>
      </c>
      <c r="AZ618" s="3"/>
      <c r="BA618" s="3"/>
      <c r="BB618" s="3"/>
      <c r="BC618" s="3"/>
      <c r="BD618" s="3"/>
      <c r="BE618" s="1421">
        <f t="shared" si="1"/>
        <v>0</v>
      </c>
      <c r="BF618" s="1423"/>
      <c r="BG618" s="1437">
        <f t="shared" si="2"/>
        <v>0</v>
      </c>
      <c r="BH618" s="1438"/>
      <c r="BI618" s="1421">
        <f t="shared" si="3"/>
        <v>0</v>
      </c>
      <c r="BJ618" s="1423"/>
      <c r="BK618" s="1437">
        <f t="shared" si="4"/>
        <v>0</v>
      </c>
      <c r="BL618" s="1438"/>
      <c r="BM618" s="3"/>
      <c r="BN618" s="1415">
        <f t="shared" si="5"/>
        <v>0</v>
      </c>
      <c r="BO618" s="1416"/>
      <c r="BP618" s="1416"/>
      <c r="BQ618" s="1416"/>
      <c r="BR618" s="1417"/>
      <c r="BS618" s="1424">
        <f t="shared" si="6"/>
        <v>0</v>
      </c>
      <c r="BT618" s="1424"/>
      <c r="BU618" s="1424"/>
      <c r="BV618" s="1424"/>
      <c r="BW618" s="1424"/>
      <c r="BX618" s="1424">
        <f t="shared" si="7"/>
        <v>0</v>
      </c>
      <c r="BY618" s="1424"/>
      <c r="BZ618" s="1424"/>
      <c r="CA618" s="1424"/>
      <c r="CB618" s="1424"/>
      <c r="CC618" s="1424">
        <f t="shared" si="8"/>
        <v>0</v>
      </c>
      <c r="CD618" s="1424"/>
      <c r="CE618" s="1424"/>
      <c r="CF618" s="1424"/>
      <c r="CG618" s="1424"/>
      <c r="CH618" s="1424">
        <f t="shared" si="9"/>
        <v>0</v>
      </c>
      <c r="CI618" s="1424"/>
      <c r="CJ618" s="1424"/>
      <c r="CK618" s="1424"/>
      <c r="CL618" s="1424"/>
      <c r="CM618" s="1424">
        <f t="shared" si="10"/>
        <v>0</v>
      </c>
      <c r="CN618" s="1424"/>
      <c r="CO618" s="1424"/>
      <c r="CP618" s="1424"/>
      <c r="CQ618" s="1424"/>
      <c r="CR618" s="6"/>
      <c r="CS618" s="1425">
        <f t="shared" si="11"/>
        <v>0</v>
      </c>
      <c r="CT618" s="1425"/>
      <c r="CU618" s="1425"/>
      <c r="CV618" s="1425"/>
      <c r="CW618" s="1425"/>
      <c r="CX618" s="1425">
        <f t="shared" si="12"/>
        <v>0</v>
      </c>
      <c r="CY618" s="1425"/>
      <c r="CZ618" s="1425"/>
      <c r="DA618" s="1425"/>
      <c r="DB618" s="1425"/>
      <c r="DC618" s="1425">
        <f t="shared" si="13"/>
        <v>0</v>
      </c>
      <c r="DD618" s="1425"/>
      <c r="DE618" s="1425"/>
      <c r="DF618" s="1425"/>
      <c r="DG618" s="1425"/>
      <c r="DH618" s="1425">
        <f t="shared" si="14"/>
        <v>0</v>
      </c>
      <c r="DI618" s="1425"/>
      <c r="DJ618" s="1425"/>
      <c r="DK618" s="1425"/>
      <c r="DL618" s="1425"/>
      <c r="DM618" s="1425">
        <f t="shared" si="15"/>
        <v>0</v>
      </c>
      <c r="DN618" s="1425"/>
      <c r="DO618" s="1425"/>
      <c r="DP618" s="1425"/>
      <c r="DQ618" s="1425"/>
      <c r="DR618" s="1425">
        <f t="shared" si="16"/>
        <v>0</v>
      </c>
      <c r="DS618" s="1425"/>
      <c r="DT618" s="1425"/>
      <c r="DU618" s="1425"/>
      <c r="DV618" s="1425"/>
      <c r="DX618" s="1421" t="str">
        <f t="shared" si="17"/>
        <v xml:space="preserve"> </v>
      </c>
      <c r="DY618" s="1422"/>
      <c r="DZ618" s="1422"/>
      <c r="EA618" s="1422"/>
      <c r="EB618" s="1423"/>
      <c r="EC618" s="1421" t="str">
        <f t="shared" si="18"/>
        <v xml:space="preserve"> </v>
      </c>
      <c r="ED618" s="1422"/>
      <c r="EE618" s="1422"/>
      <c r="EF618" s="1422"/>
      <c r="EG618" s="1423"/>
      <c r="EH618" s="1421" t="str">
        <f t="shared" si="19"/>
        <v xml:space="preserve"> </v>
      </c>
      <c r="EI618" s="1422"/>
      <c r="EJ618" s="1422"/>
      <c r="EK618" s="1422"/>
      <c r="EL618" s="1423"/>
      <c r="EM618" s="1421" t="str">
        <f t="shared" si="20"/>
        <v xml:space="preserve"> </v>
      </c>
      <c r="EN618" s="1422"/>
      <c r="EO618" s="1422"/>
      <c r="EP618" s="1422"/>
      <c r="EQ618" s="1423"/>
      <c r="ER618" s="1421" t="str">
        <f t="shared" si="21"/>
        <v xml:space="preserve"> </v>
      </c>
      <c r="ES618" s="1422"/>
      <c r="ET618" s="1422"/>
      <c r="EU618" s="1422"/>
      <c r="EV618" s="1423"/>
      <c r="EW618" s="1421" t="str">
        <f t="shared" si="22"/>
        <v xml:space="preserve"> </v>
      </c>
      <c r="EX618" s="1422"/>
      <c r="EY618" s="1422"/>
      <c r="EZ618" s="1422"/>
      <c r="FA618" s="1423"/>
    </row>
    <row r="619" spans="1:157" ht="12.95" customHeight="1">
      <c r="B619" s="547"/>
      <c r="C619" s="2"/>
      <c r="AZ619" s="3"/>
      <c r="BA619" s="3"/>
      <c r="BB619" s="3"/>
      <c r="BC619" s="3"/>
      <c r="BD619" s="3"/>
      <c r="BE619" s="1421">
        <f t="shared" si="1"/>
        <v>0</v>
      </c>
      <c r="BF619" s="1423"/>
      <c r="BG619" s="1437">
        <f t="shared" si="2"/>
        <v>0</v>
      </c>
      <c r="BH619" s="1438"/>
      <c r="BI619" s="1421">
        <f t="shared" si="3"/>
        <v>0</v>
      </c>
      <c r="BJ619" s="1423"/>
      <c r="BK619" s="1437">
        <f t="shared" si="4"/>
        <v>0</v>
      </c>
      <c r="BL619" s="1438"/>
      <c r="BM619" s="3"/>
      <c r="BN619" s="1415">
        <f t="shared" si="5"/>
        <v>0</v>
      </c>
      <c r="BO619" s="1416"/>
      <c r="BP619" s="1416"/>
      <c r="BQ619" s="1416"/>
      <c r="BR619" s="1417"/>
      <c r="BS619" s="1424">
        <f t="shared" si="6"/>
        <v>0</v>
      </c>
      <c r="BT619" s="1424"/>
      <c r="BU619" s="1424"/>
      <c r="BV619" s="1424"/>
      <c r="BW619" s="1424"/>
      <c r="BX619" s="1424">
        <f t="shared" si="7"/>
        <v>0</v>
      </c>
      <c r="BY619" s="1424"/>
      <c r="BZ619" s="1424"/>
      <c r="CA619" s="1424"/>
      <c r="CB619" s="1424"/>
      <c r="CC619" s="1424">
        <f t="shared" si="8"/>
        <v>0</v>
      </c>
      <c r="CD619" s="1424"/>
      <c r="CE619" s="1424"/>
      <c r="CF619" s="1424"/>
      <c r="CG619" s="1424"/>
      <c r="CH619" s="1424">
        <f t="shared" si="9"/>
        <v>0</v>
      </c>
      <c r="CI619" s="1424"/>
      <c r="CJ619" s="1424"/>
      <c r="CK619" s="1424"/>
      <c r="CL619" s="1424"/>
      <c r="CM619" s="1424">
        <f t="shared" si="10"/>
        <v>0</v>
      </c>
      <c r="CN619" s="1424"/>
      <c r="CO619" s="1424"/>
      <c r="CP619" s="1424"/>
      <c r="CQ619" s="1424"/>
      <c r="CR619" s="6"/>
      <c r="CS619" s="1425">
        <f t="shared" si="11"/>
        <v>0</v>
      </c>
      <c r="CT619" s="1425"/>
      <c r="CU619" s="1425"/>
      <c r="CV619" s="1425"/>
      <c r="CW619" s="1425"/>
      <c r="CX619" s="1425">
        <f t="shared" si="12"/>
        <v>0</v>
      </c>
      <c r="CY619" s="1425"/>
      <c r="CZ619" s="1425"/>
      <c r="DA619" s="1425"/>
      <c r="DB619" s="1425"/>
      <c r="DC619" s="1425">
        <f t="shared" si="13"/>
        <v>0</v>
      </c>
      <c r="DD619" s="1425"/>
      <c r="DE619" s="1425"/>
      <c r="DF619" s="1425"/>
      <c r="DG619" s="1425"/>
      <c r="DH619" s="1425">
        <f t="shared" si="14"/>
        <v>0</v>
      </c>
      <c r="DI619" s="1425"/>
      <c r="DJ619" s="1425"/>
      <c r="DK619" s="1425"/>
      <c r="DL619" s="1425"/>
      <c r="DM619" s="1425">
        <f t="shared" si="15"/>
        <v>0</v>
      </c>
      <c r="DN619" s="1425"/>
      <c r="DO619" s="1425"/>
      <c r="DP619" s="1425"/>
      <c r="DQ619" s="1425"/>
      <c r="DR619" s="1425">
        <f t="shared" si="16"/>
        <v>0</v>
      </c>
      <c r="DS619" s="1425"/>
      <c r="DT619" s="1425"/>
      <c r="DU619" s="1425"/>
      <c r="DV619" s="1425"/>
      <c r="DX619" s="1421" t="str">
        <f t="shared" si="17"/>
        <v xml:space="preserve"> </v>
      </c>
      <c r="DY619" s="1422"/>
      <c r="DZ619" s="1422"/>
      <c r="EA619" s="1422"/>
      <c r="EB619" s="1423"/>
      <c r="EC619" s="1421" t="str">
        <f t="shared" si="18"/>
        <v xml:space="preserve"> </v>
      </c>
      <c r="ED619" s="1422"/>
      <c r="EE619" s="1422"/>
      <c r="EF619" s="1422"/>
      <c r="EG619" s="1423"/>
      <c r="EH619" s="1421" t="str">
        <f t="shared" si="19"/>
        <v xml:space="preserve"> </v>
      </c>
      <c r="EI619" s="1422"/>
      <c r="EJ619" s="1422"/>
      <c r="EK619" s="1422"/>
      <c r="EL619" s="1423"/>
      <c r="EM619" s="1421" t="str">
        <f t="shared" si="20"/>
        <v xml:space="preserve"> </v>
      </c>
      <c r="EN619" s="1422"/>
      <c r="EO619" s="1422"/>
      <c r="EP619" s="1422"/>
      <c r="EQ619" s="1423"/>
      <c r="ER619" s="1421" t="str">
        <f t="shared" si="21"/>
        <v xml:space="preserve"> </v>
      </c>
      <c r="ES619" s="1422"/>
      <c r="ET619" s="1422"/>
      <c r="EU619" s="1422"/>
      <c r="EV619" s="1423"/>
      <c r="EW619" s="1421" t="str">
        <f t="shared" si="22"/>
        <v xml:space="preserve"> </v>
      </c>
      <c r="EX619" s="1422"/>
      <c r="EY619" s="1422"/>
      <c r="EZ619" s="1422"/>
      <c r="FA619" s="1423"/>
    </row>
    <row r="620" spans="1:157" ht="12.95" customHeight="1">
      <c r="B620" s="1733" t="s">
        <v>2530</v>
      </c>
      <c r="C620" s="1733"/>
      <c r="D620" s="1733"/>
      <c r="E620" s="1733"/>
      <c r="F620" s="1733"/>
      <c r="G620" s="1733"/>
      <c r="H620" s="1733"/>
      <c r="I620" s="1733"/>
      <c r="J620" s="1733"/>
      <c r="K620" s="1733"/>
      <c r="L620" s="1733"/>
      <c r="M620" s="1374" t="s">
        <v>2531</v>
      </c>
      <c r="N620" s="1374"/>
      <c r="O620" s="1374"/>
      <c r="P620" s="1374"/>
      <c r="Q620" s="1374" t="s">
        <v>2115</v>
      </c>
      <c r="R620" s="1374"/>
      <c r="S620" s="1374"/>
      <c r="T620" s="1374" t="s">
        <v>2113</v>
      </c>
      <c r="U620" s="1374"/>
      <c r="V620" s="1374"/>
      <c r="W620" s="1373" t="s">
        <v>462</v>
      </c>
      <c r="X620" s="1373"/>
      <c r="Y620" s="1373"/>
      <c r="Z620" s="1375" t="s">
        <v>2560</v>
      </c>
      <c r="AA620" s="1375"/>
      <c r="AB620" s="1376"/>
      <c r="AC620" s="1609" t="s">
        <v>1935</v>
      </c>
      <c r="AD620" s="1610"/>
      <c r="AE620" s="1611"/>
      <c r="AF620" s="1728" t="s">
        <v>2313</v>
      </c>
      <c r="AG620" s="1375"/>
      <c r="AH620" s="1375"/>
      <c r="AI620" s="1375"/>
      <c r="AJ620" s="1376"/>
      <c r="AK620" s="1596" t="s">
        <v>2314</v>
      </c>
      <c r="AL620" s="1597"/>
      <c r="AM620" s="1597"/>
      <c r="AN620" s="1598"/>
      <c r="AO620" s="1374" t="s">
        <v>463</v>
      </c>
      <c r="AP620" s="1374"/>
      <c r="AQ620" s="1374"/>
      <c r="AR620" s="1374"/>
      <c r="AS620" s="1374"/>
      <c r="AZ620" s="3"/>
      <c r="BA620" s="3"/>
      <c r="BB620" s="3"/>
      <c r="BC620" s="3"/>
      <c r="BD620" s="3"/>
      <c r="BE620" s="1421">
        <f t="shared" si="1"/>
        <v>0</v>
      </c>
      <c r="BF620" s="1423"/>
      <c r="BG620" s="1437">
        <f t="shared" si="2"/>
        <v>0</v>
      </c>
      <c r="BH620" s="1438"/>
      <c r="BI620" s="1421">
        <f t="shared" si="3"/>
        <v>0</v>
      </c>
      <c r="BJ620" s="1423"/>
      <c r="BK620" s="1437">
        <f t="shared" si="4"/>
        <v>0</v>
      </c>
      <c r="BL620" s="1438"/>
      <c r="BM620" s="3"/>
      <c r="BN620" s="1415">
        <f t="shared" si="5"/>
        <v>0</v>
      </c>
      <c r="BO620" s="1416"/>
      <c r="BP620" s="1416"/>
      <c r="BQ620" s="1416"/>
      <c r="BR620" s="1417"/>
      <c r="BS620" s="1424">
        <f t="shared" si="6"/>
        <v>0</v>
      </c>
      <c r="BT620" s="1424"/>
      <c r="BU620" s="1424"/>
      <c r="BV620" s="1424"/>
      <c r="BW620" s="1424"/>
      <c r="BX620" s="1424">
        <f t="shared" si="7"/>
        <v>0</v>
      </c>
      <c r="BY620" s="1424"/>
      <c r="BZ620" s="1424"/>
      <c r="CA620" s="1424"/>
      <c r="CB620" s="1424"/>
      <c r="CC620" s="1424">
        <f t="shared" si="8"/>
        <v>0</v>
      </c>
      <c r="CD620" s="1424"/>
      <c r="CE620" s="1424"/>
      <c r="CF620" s="1424"/>
      <c r="CG620" s="1424"/>
      <c r="CH620" s="1424">
        <f t="shared" si="9"/>
        <v>0</v>
      </c>
      <c r="CI620" s="1424"/>
      <c r="CJ620" s="1424"/>
      <c r="CK620" s="1424"/>
      <c r="CL620" s="1424"/>
      <c r="CM620" s="1424">
        <f t="shared" si="10"/>
        <v>0</v>
      </c>
      <c r="CN620" s="1424"/>
      <c r="CO620" s="1424"/>
      <c r="CP620" s="1424"/>
      <c r="CQ620" s="1424"/>
      <c r="CR620" s="6"/>
      <c r="CS620" s="1425">
        <f t="shared" si="11"/>
        <v>0</v>
      </c>
      <c r="CT620" s="1425"/>
      <c r="CU620" s="1425"/>
      <c r="CV620" s="1425"/>
      <c r="CW620" s="1425"/>
      <c r="CX620" s="1425">
        <f t="shared" si="12"/>
        <v>0</v>
      </c>
      <c r="CY620" s="1425"/>
      <c r="CZ620" s="1425"/>
      <c r="DA620" s="1425"/>
      <c r="DB620" s="1425"/>
      <c r="DC620" s="1425">
        <f t="shared" si="13"/>
        <v>0</v>
      </c>
      <c r="DD620" s="1425"/>
      <c r="DE620" s="1425"/>
      <c r="DF620" s="1425"/>
      <c r="DG620" s="1425"/>
      <c r="DH620" s="1425">
        <f t="shared" si="14"/>
        <v>0</v>
      </c>
      <c r="DI620" s="1425"/>
      <c r="DJ620" s="1425"/>
      <c r="DK620" s="1425"/>
      <c r="DL620" s="1425"/>
      <c r="DM620" s="1425">
        <f t="shared" si="15"/>
        <v>0</v>
      </c>
      <c r="DN620" s="1425"/>
      <c r="DO620" s="1425"/>
      <c r="DP620" s="1425"/>
      <c r="DQ620" s="1425"/>
      <c r="DR620" s="1425">
        <f t="shared" si="16"/>
        <v>0</v>
      </c>
      <c r="DS620" s="1425"/>
      <c r="DT620" s="1425"/>
      <c r="DU620" s="1425"/>
      <c r="DV620" s="1425"/>
      <c r="DX620" s="1421" t="str">
        <f t="shared" si="17"/>
        <v xml:space="preserve"> </v>
      </c>
      <c r="DY620" s="1422"/>
      <c r="DZ620" s="1422"/>
      <c r="EA620" s="1422"/>
      <c r="EB620" s="1423"/>
      <c r="EC620" s="1421" t="str">
        <f t="shared" si="18"/>
        <v xml:space="preserve"> </v>
      </c>
      <c r="ED620" s="1422"/>
      <c r="EE620" s="1422"/>
      <c r="EF620" s="1422"/>
      <c r="EG620" s="1423"/>
      <c r="EH620" s="1421" t="str">
        <f t="shared" si="19"/>
        <v xml:space="preserve"> </v>
      </c>
      <c r="EI620" s="1422"/>
      <c r="EJ620" s="1422"/>
      <c r="EK620" s="1422"/>
      <c r="EL620" s="1423"/>
      <c r="EM620" s="1421" t="str">
        <f t="shared" si="20"/>
        <v xml:space="preserve"> </v>
      </c>
      <c r="EN620" s="1422"/>
      <c r="EO620" s="1422"/>
      <c r="EP620" s="1422"/>
      <c r="EQ620" s="1423"/>
      <c r="ER620" s="1421" t="str">
        <f t="shared" si="21"/>
        <v xml:space="preserve"> </v>
      </c>
      <c r="ES620" s="1422"/>
      <c r="ET620" s="1422"/>
      <c r="EU620" s="1422"/>
      <c r="EV620" s="1423"/>
      <c r="EW620" s="1421" t="str">
        <f t="shared" si="22"/>
        <v xml:space="preserve"> </v>
      </c>
      <c r="EX620" s="1422"/>
      <c r="EY620" s="1422"/>
      <c r="EZ620" s="1422"/>
      <c r="FA620" s="1423"/>
    </row>
    <row r="621" spans="1:157" ht="12.95" customHeight="1">
      <c r="B621" s="1733"/>
      <c r="C621" s="1733"/>
      <c r="D621" s="1733"/>
      <c r="E621" s="1733"/>
      <c r="F621" s="1733"/>
      <c r="G621" s="1733"/>
      <c r="H621" s="1733"/>
      <c r="I621" s="1733"/>
      <c r="J621" s="1733"/>
      <c r="K621" s="1733"/>
      <c r="L621" s="1733"/>
      <c r="M621" s="1374"/>
      <c r="N621" s="1374"/>
      <c r="O621" s="1374"/>
      <c r="P621" s="1374"/>
      <c r="Q621" s="1374"/>
      <c r="R621" s="1374"/>
      <c r="S621" s="1374"/>
      <c r="T621" s="1374"/>
      <c r="U621" s="1374"/>
      <c r="V621" s="1374"/>
      <c r="W621" s="1373"/>
      <c r="X621" s="1373"/>
      <c r="Y621" s="1373"/>
      <c r="Z621" s="1377"/>
      <c r="AA621" s="1377"/>
      <c r="AB621" s="1378"/>
      <c r="AC621" s="1612"/>
      <c r="AD621" s="1613"/>
      <c r="AE621" s="1614"/>
      <c r="AF621" s="1729"/>
      <c r="AG621" s="1377"/>
      <c r="AH621" s="1377"/>
      <c r="AI621" s="1377"/>
      <c r="AJ621" s="1378"/>
      <c r="AK621" s="1599"/>
      <c r="AL621" s="1600"/>
      <c r="AM621" s="1600"/>
      <c r="AN621" s="1601"/>
      <c r="AO621" s="1374"/>
      <c r="AP621" s="1374"/>
      <c r="AQ621" s="1374"/>
      <c r="AR621" s="1374"/>
      <c r="AS621" s="1374"/>
      <c r="AZ621" s="3"/>
      <c r="BA621" s="3"/>
      <c r="BB621" s="3"/>
      <c r="BC621" s="3"/>
      <c r="BD621" s="3"/>
      <c r="BE621" s="3"/>
      <c r="BF621" s="3"/>
      <c r="BG621" s="1421">
        <f>SUM(BG596:BH620)</f>
        <v>41</v>
      </c>
      <c r="BH621" s="1423"/>
      <c r="BI621" s="3"/>
      <c r="BJ621" s="3"/>
      <c r="BK621" s="1421">
        <f>SUM(BK596:BL620)</f>
        <v>12</v>
      </c>
      <c r="BL621" s="1423"/>
      <c r="BM621" s="3"/>
      <c r="BN621" s="1421">
        <f>SUM(BN596:BR620)</f>
        <v>0</v>
      </c>
      <c r="BO621" s="1422"/>
      <c r="BP621" s="1422"/>
      <c r="BQ621" s="1422"/>
      <c r="BR621" s="1423"/>
      <c r="BS621" s="1426">
        <f>SUM(BS596:BW620)</f>
        <v>40</v>
      </c>
      <c r="BT621" s="1426"/>
      <c r="BU621" s="1426"/>
      <c r="BV621" s="1426"/>
      <c r="BW621" s="1426"/>
      <c r="BX621" s="1426">
        <f>SUM(BX596:CB620)</f>
        <v>46</v>
      </c>
      <c r="BY621" s="1426"/>
      <c r="BZ621" s="1426"/>
      <c r="CA621" s="1426"/>
      <c r="CB621" s="1426"/>
      <c r="CC621" s="1426">
        <f>SUM(CC596:CG620)</f>
        <v>29</v>
      </c>
      <c r="CD621" s="1426"/>
      <c r="CE621" s="1426"/>
      <c r="CF621" s="1426"/>
      <c r="CG621" s="1426"/>
      <c r="CH621" s="1426">
        <f>SUM(CH596:CL620)</f>
        <v>0</v>
      </c>
      <c r="CI621" s="1426"/>
      <c r="CJ621" s="1426"/>
      <c r="CK621" s="1426"/>
      <c r="CL621" s="1426"/>
      <c r="CM621" s="1426">
        <f>SUM(CM596:CQ620)</f>
        <v>0</v>
      </c>
      <c r="CN621" s="1426"/>
      <c r="CO621" s="1426"/>
      <c r="CP621" s="1426"/>
      <c r="CQ621" s="1426"/>
      <c r="CR621" s="386"/>
      <c r="CS621" s="1426">
        <f>SUM(CS596:CW620)</f>
        <v>0</v>
      </c>
      <c r="CT621" s="1426"/>
      <c r="CU621" s="1426"/>
      <c r="CV621" s="1426"/>
      <c r="CW621" s="1426"/>
      <c r="CX621" s="1426">
        <f>SUM(CX596:DB620)</f>
        <v>4</v>
      </c>
      <c r="CY621" s="1426"/>
      <c r="CZ621" s="1426"/>
      <c r="DA621" s="1426"/>
      <c r="DB621" s="1426"/>
      <c r="DC621" s="1426">
        <f>SUM(DC596:DG620)</f>
        <v>5</v>
      </c>
      <c r="DD621" s="1426"/>
      <c r="DE621" s="1426"/>
      <c r="DF621" s="1426"/>
      <c r="DG621" s="1426"/>
      <c r="DH621" s="1426">
        <f>SUM(DH596:DL620)</f>
        <v>3</v>
      </c>
      <c r="DI621" s="1426"/>
      <c r="DJ621" s="1426"/>
      <c r="DK621" s="1426"/>
      <c r="DL621" s="1426"/>
      <c r="DM621" s="1426">
        <f>SUM(DM596:DQ620)</f>
        <v>0</v>
      </c>
      <c r="DN621" s="1426"/>
      <c r="DO621" s="1426"/>
      <c r="DP621" s="1426"/>
      <c r="DQ621" s="1426"/>
      <c r="DR621" s="1426">
        <f>SUM(DR596:DV620)</f>
        <v>0</v>
      </c>
      <c r="DS621" s="1426"/>
      <c r="DT621" s="1426"/>
      <c r="DU621" s="1426"/>
      <c r="DV621" s="1426"/>
      <c r="DX621" s="1426">
        <f>SUM(DX596:EB620)</f>
        <v>0</v>
      </c>
      <c r="DY621" s="1426"/>
      <c r="DZ621" s="1426"/>
      <c r="EA621" s="1426"/>
      <c r="EB621" s="1426"/>
      <c r="EC621" s="1426">
        <f>SUM(EC596:EG620)</f>
        <v>4175</v>
      </c>
      <c r="ED621" s="1426"/>
      <c r="EE621" s="1426"/>
      <c r="EF621" s="1426"/>
      <c r="EG621" s="1426"/>
      <c r="EH621" s="1426">
        <f>SUM(EH596:EL620)</f>
        <v>8225</v>
      </c>
      <c r="EI621" s="1426"/>
      <c r="EJ621" s="1426"/>
      <c r="EK621" s="1426"/>
      <c r="EL621" s="1426"/>
      <c r="EM621" s="1426">
        <f>SUM(EM596:EQ620)</f>
        <v>5732</v>
      </c>
      <c r="EN621" s="1426"/>
      <c r="EO621" s="1426"/>
      <c r="EP621" s="1426"/>
      <c r="EQ621" s="1426"/>
      <c r="ER621" s="1426">
        <f>SUM(ER596:EV620)</f>
        <v>0</v>
      </c>
      <c r="ES621" s="1426"/>
      <c r="ET621" s="1426"/>
      <c r="EU621" s="1426"/>
      <c r="EV621" s="1426"/>
      <c r="EW621" s="1426">
        <f>SUM(EW596:FA620)</f>
        <v>0</v>
      </c>
      <c r="EX621" s="1426"/>
      <c r="EY621" s="1426"/>
      <c r="EZ621" s="1426"/>
      <c r="FA621" s="1426"/>
    </row>
    <row r="622" spans="1:157" ht="12.95" customHeight="1">
      <c r="B622" s="1733"/>
      <c r="C622" s="1733"/>
      <c r="D622" s="1733"/>
      <c r="E622" s="1733"/>
      <c r="F622" s="1733"/>
      <c r="G622" s="1733"/>
      <c r="H622" s="1733"/>
      <c r="I622" s="1733"/>
      <c r="J622" s="1733"/>
      <c r="K622" s="1733"/>
      <c r="L622" s="1733"/>
      <c r="M622" s="1374"/>
      <c r="N622" s="1374"/>
      <c r="O622" s="1374"/>
      <c r="P622" s="1374"/>
      <c r="Q622" s="1374"/>
      <c r="R622" s="1374"/>
      <c r="S622" s="1374"/>
      <c r="T622" s="1374"/>
      <c r="U622" s="1374"/>
      <c r="V622" s="1374"/>
      <c r="W622" s="1373"/>
      <c r="X622" s="1373"/>
      <c r="Y622" s="1373"/>
      <c r="Z622" s="1379"/>
      <c r="AA622" s="1379"/>
      <c r="AB622" s="1380"/>
      <c r="AC622" s="1615"/>
      <c r="AD622" s="1616"/>
      <c r="AE622" s="1617"/>
      <c r="AF622" s="1730"/>
      <c r="AG622" s="1379"/>
      <c r="AH622" s="1379"/>
      <c r="AI622" s="1379"/>
      <c r="AJ622" s="1380"/>
      <c r="AK622" s="1602"/>
      <c r="AL622" s="1603"/>
      <c r="AM622" s="1603"/>
      <c r="AN622" s="1604"/>
      <c r="AO622" s="1374"/>
      <c r="AP622" s="1374"/>
      <c r="AQ622" s="1374"/>
      <c r="AR622" s="1374"/>
      <c r="AS622" s="137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1">
        <f>BN621+BS621+BX621+CC621+CH621+CM621</f>
        <v>115</v>
      </c>
      <c r="CN622" s="1422"/>
      <c r="CO622" s="1422"/>
      <c r="CP622" s="1422"/>
      <c r="CQ622" s="1423"/>
      <c r="CR622" s="386"/>
      <c r="CS622" s="3"/>
      <c r="CT622" s="3"/>
      <c r="CU622" s="3"/>
      <c r="CV622" s="3"/>
      <c r="CW622" s="3"/>
      <c r="CX622" s="3"/>
      <c r="CY622" s="3"/>
      <c r="CZ622" s="3"/>
      <c r="DA622" s="3"/>
      <c r="DB622" s="3"/>
      <c r="DC622" s="3"/>
      <c r="DD622" s="3"/>
      <c r="DE622" s="3"/>
      <c r="DF622" s="3"/>
    </row>
    <row r="623" spans="1:157" ht="12.95" customHeight="1">
      <c r="B623" s="51" t="s">
        <v>113</v>
      </c>
      <c r="C623" s="1403" t="s">
        <v>2709</v>
      </c>
      <c r="D623" s="1403"/>
      <c r="E623" s="1403"/>
      <c r="F623" s="1403"/>
      <c r="G623" s="1403"/>
      <c r="H623" s="1403"/>
      <c r="I623" s="1403"/>
      <c r="J623" s="1403"/>
      <c r="K623" s="1403"/>
      <c r="L623" s="1403"/>
      <c r="M623" s="1402" t="s">
        <v>2547</v>
      </c>
      <c r="N623" s="1402"/>
      <c r="O623" s="1402"/>
      <c r="P623" s="1402"/>
      <c r="Q623" s="1360">
        <f>18*12</f>
        <v>216</v>
      </c>
      <c r="R623" s="1360"/>
      <c r="S623" s="1361"/>
      <c r="T623" s="1359">
        <f>40*12</f>
        <v>480</v>
      </c>
      <c r="U623" s="1360"/>
      <c r="V623" s="1361"/>
      <c r="W623" s="1365">
        <v>6.5500000000000003E-2</v>
      </c>
      <c r="X623" s="1366"/>
      <c r="Y623" s="1367"/>
      <c r="Z623" s="1362" t="s">
        <v>2559</v>
      </c>
      <c r="AA623" s="1363"/>
      <c r="AB623" s="1364"/>
      <c r="AC623" s="1605">
        <v>1</v>
      </c>
      <c r="AD623" s="1606"/>
      <c r="AE623" s="1607"/>
      <c r="AF623" s="1430">
        <v>910502</v>
      </c>
      <c r="AG623" s="1431"/>
      <c r="AH623" s="1431"/>
      <c r="AI623" s="1431"/>
      <c r="AJ623" s="1432"/>
      <c r="AK623" s="1434"/>
      <c r="AL623" s="1435"/>
      <c r="AM623" s="1435"/>
      <c r="AN623" s="1436"/>
      <c r="AO623" s="1433">
        <v>12960000</v>
      </c>
      <c r="AP623" s="1433"/>
      <c r="AQ623" s="1433"/>
      <c r="AR623" s="1433"/>
      <c r="AS623" s="1433"/>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40</v>
      </c>
      <c r="BX623" s="3"/>
      <c r="BY623" s="3"/>
      <c r="BZ623" s="3"/>
      <c r="CA623" s="3"/>
      <c r="CB623" s="897">
        <f>BX621*2</f>
        <v>92</v>
      </c>
      <c r="CC623" s="3"/>
      <c r="CD623" s="3"/>
      <c r="CE623" s="3"/>
      <c r="CF623" s="3"/>
      <c r="CG623" s="897">
        <f>CC621*3</f>
        <v>87</v>
      </c>
      <c r="CH623" s="3"/>
      <c r="CI623" s="3"/>
      <c r="CJ623" s="3"/>
      <c r="CK623" s="3"/>
      <c r="CL623" s="897">
        <f>CH621*4</f>
        <v>0</v>
      </c>
      <c r="CM623" s="3"/>
      <c r="CN623" s="3"/>
      <c r="CO623" s="3"/>
      <c r="CP623" s="3"/>
      <c r="CQ623" s="897">
        <f>CM621*5</f>
        <v>0</v>
      </c>
      <c r="CS623" s="897">
        <f>BR623+BW623+CB623+CG623+CL623+CQ623</f>
        <v>219</v>
      </c>
      <c r="CT623" s="57" t="s">
        <v>2125</v>
      </c>
      <c r="CU623" s="3"/>
      <c r="CV623" s="3"/>
      <c r="CW623" s="3"/>
      <c r="CX623" s="3"/>
      <c r="CY623" s="3"/>
      <c r="CZ623" s="3"/>
      <c r="DA623" s="3"/>
      <c r="DB623" s="3"/>
      <c r="DC623" s="3"/>
      <c r="DD623" s="3"/>
      <c r="DE623" s="3"/>
      <c r="DF623" s="3"/>
    </row>
    <row r="624" spans="1:157" ht="12.95" customHeight="1">
      <c r="B624" s="52" t="s">
        <v>114</v>
      </c>
      <c r="C624" s="1403" t="s">
        <v>2720</v>
      </c>
      <c r="D624" s="1403"/>
      <c r="E624" s="1403"/>
      <c r="F624" s="1403"/>
      <c r="G624" s="1403"/>
      <c r="H624" s="1403"/>
      <c r="I624" s="1403"/>
      <c r="J624" s="1403"/>
      <c r="K624" s="1403"/>
      <c r="L624" s="1403"/>
      <c r="M624" s="1402" t="s">
        <v>2549</v>
      </c>
      <c r="N624" s="1402"/>
      <c r="O624" s="1402"/>
      <c r="P624" s="1402"/>
      <c r="Q624" s="1359"/>
      <c r="R624" s="1360"/>
      <c r="S624" s="1361"/>
      <c r="T624" s="1359"/>
      <c r="U624" s="1360"/>
      <c r="V624" s="1361"/>
      <c r="W624" s="1365"/>
      <c r="X624" s="1366"/>
      <c r="Y624" s="1367"/>
      <c r="Z624" s="1362" t="s">
        <v>1327</v>
      </c>
      <c r="AA624" s="1363"/>
      <c r="AB624" s="1364"/>
      <c r="AC624" s="1605"/>
      <c r="AD624" s="1606"/>
      <c r="AE624" s="1607"/>
      <c r="AF624" s="1430"/>
      <c r="AG624" s="1431"/>
      <c r="AH624" s="1431"/>
      <c r="AI624" s="1431"/>
      <c r="AJ624" s="1432"/>
      <c r="AK624" s="1434"/>
      <c r="AL624" s="1435"/>
      <c r="AM624" s="1435"/>
      <c r="AN624" s="1436"/>
      <c r="AO624" s="1427">
        <v>1092536</v>
      </c>
      <c r="AP624" s="1428"/>
      <c r="AQ624" s="1428"/>
      <c r="AR624" s="1428"/>
      <c r="AS624" s="1429"/>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4" t="e">
        <f t="shared" ref="DX624:DX648" si="23">DX596*(BN596/$BN$621)</f>
        <v>#VALUE!</v>
      </c>
      <c r="DY624" s="1404"/>
      <c r="DZ624" s="1404"/>
      <c r="EA624" s="1404"/>
      <c r="EB624" s="1404"/>
      <c r="EC624" s="1404">
        <f t="shared" ref="EC624:EC648" si="24">EC596*(BS596/$BS$621)</f>
        <v>52.1</v>
      </c>
      <c r="ED624" s="1404"/>
      <c r="EE624" s="1404"/>
      <c r="EF624" s="1404"/>
      <c r="EG624" s="1404"/>
      <c r="EH624" s="1404" t="e">
        <f t="shared" ref="EH624:EH648" si="25">EH596*(BX596/$BX$621)</f>
        <v>#VALUE!</v>
      </c>
      <c r="EI624" s="1404"/>
      <c r="EJ624" s="1404"/>
      <c r="EK624" s="1404"/>
      <c r="EL624" s="1404"/>
      <c r="EM624" s="1404" t="e">
        <f t="shared" ref="EM624:EM648" si="26">EM596*(CC596/$CC$621)</f>
        <v>#VALUE!</v>
      </c>
      <c r="EN624" s="1404"/>
      <c r="EO624" s="1404"/>
      <c r="EP624" s="1404"/>
      <c r="EQ624" s="1404"/>
      <c r="ER624" s="1404" t="e">
        <f t="shared" ref="ER624:ER648" si="27">ER596*(CH596/$CH$621)</f>
        <v>#VALUE!</v>
      </c>
      <c r="ES624" s="1404"/>
      <c r="ET624" s="1404"/>
      <c r="EU624" s="1404"/>
      <c r="EV624" s="1404"/>
      <c r="EW624" s="1404" t="e">
        <f t="shared" ref="EW624:EW648" si="28">EW596*(CM596/$CM$621)</f>
        <v>#VALUE!</v>
      </c>
      <c r="EX624" s="1404"/>
      <c r="EY624" s="1404"/>
      <c r="EZ624" s="1404"/>
      <c r="FA624" s="1404"/>
    </row>
    <row r="625" spans="1:157" ht="12.95" customHeight="1">
      <c r="B625" s="52" t="s">
        <v>120</v>
      </c>
      <c r="C625" s="1403" t="s">
        <v>2652</v>
      </c>
      <c r="D625" s="1403"/>
      <c r="E625" s="1403"/>
      <c r="F625" s="1403"/>
      <c r="G625" s="1403"/>
      <c r="H625" s="1403"/>
      <c r="I625" s="1403"/>
      <c r="J625" s="1403"/>
      <c r="K625" s="1403"/>
      <c r="L625" s="1403"/>
      <c r="M625" s="1402" t="s">
        <v>2534</v>
      </c>
      <c r="N625" s="1402"/>
      <c r="O625" s="1402"/>
      <c r="P625" s="1402"/>
      <c r="Q625" s="1359"/>
      <c r="R625" s="1360"/>
      <c r="S625" s="1361"/>
      <c r="T625" s="1359"/>
      <c r="U625" s="1360"/>
      <c r="V625" s="1361"/>
      <c r="W625" s="1365"/>
      <c r="X625" s="1366"/>
      <c r="Y625" s="1367"/>
      <c r="Z625" s="1362" t="s">
        <v>1327</v>
      </c>
      <c r="AA625" s="1363"/>
      <c r="AB625" s="1364"/>
      <c r="AC625" s="1605"/>
      <c r="AD625" s="1606"/>
      <c r="AE625" s="1607"/>
      <c r="AF625" s="1430"/>
      <c r="AG625" s="1431"/>
      <c r="AH625" s="1431"/>
      <c r="AI625" s="1431"/>
      <c r="AJ625" s="1432"/>
      <c r="AK625" s="1434"/>
      <c r="AL625" s="1435"/>
      <c r="AM625" s="1435"/>
      <c r="AN625" s="1436"/>
      <c r="AO625" s="1427">
        <v>3491094</v>
      </c>
      <c r="AP625" s="1428"/>
      <c r="AQ625" s="1428"/>
      <c r="AR625" s="1428"/>
      <c r="AS625" s="1429"/>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4" t="e">
        <f t="shared" si="23"/>
        <v>#VALUE!</v>
      </c>
      <c r="DY625" s="1404"/>
      <c r="DZ625" s="1404"/>
      <c r="EA625" s="1404"/>
      <c r="EB625" s="1404"/>
      <c r="EC625" s="1404">
        <f t="shared" si="24"/>
        <v>315.34999999999997</v>
      </c>
      <c r="ED625" s="1404"/>
      <c r="EE625" s="1404"/>
      <c r="EF625" s="1404"/>
      <c r="EG625" s="1404"/>
      <c r="EH625" s="1404" t="e">
        <f t="shared" si="25"/>
        <v>#VALUE!</v>
      </c>
      <c r="EI625" s="1404"/>
      <c r="EJ625" s="1404"/>
      <c r="EK625" s="1404"/>
      <c r="EL625" s="1404"/>
      <c r="EM625" s="1404" t="e">
        <f t="shared" si="26"/>
        <v>#VALUE!</v>
      </c>
      <c r="EN625" s="1404"/>
      <c r="EO625" s="1404"/>
      <c r="EP625" s="1404"/>
      <c r="EQ625" s="1404"/>
      <c r="ER625" s="1404" t="e">
        <f t="shared" si="27"/>
        <v>#VALUE!</v>
      </c>
      <c r="ES625" s="1404"/>
      <c r="ET625" s="1404"/>
      <c r="EU625" s="1404"/>
      <c r="EV625" s="1404"/>
      <c r="EW625" s="1404" t="e">
        <f t="shared" si="28"/>
        <v>#VALUE!</v>
      </c>
      <c r="EX625" s="1404"/>
      <c r="EY625" s="1404"/>
      <c r="EZ625" s="1404"/>
      <c r="FA625" s="1404"/>
    </row>
    <row r="626" spans="1:157" ht="12.95" customHeight="1">
      <c r="B626" s="52" t="s">
        <v>590</v>
      </c>
      <c r="C626" s="1349"/>
      <c r="D626" s="1349"/>
      <c r="E626" s="1349"/>
      <c r="F626" s="1349"/>
      <c r="G626" s="1349"/>
      <c r="H626" s="1349"/>
      <c r="I626" s="1349"/>
      <c r="J626" s="1349"/>
      <c r="K626" s="1349"/>
      <c r="L626" s="1349"/>
      <c r="M626" s="1402" t="s">
        <v>1327</v>
      </c>
      <c r="N626" s="1402"/>
      <c r="O626" s="1402"/>
      <c r="P626" s="1402"/>
      <c r="Q626" s="1359"/>
      <c r="R626" s="1360"/>
      <c r="S626" s="1361"/>
      <c r="T626" s="1359"/>
      <c r="U626" s="1360"/>
      <c r="V626" s="1361"/>
      <c r="W626" s="1365"/>
      <c r="X626" s="1366"/>
      <c r="Y626" s="1367"/>
      <c r="Z626" s="1362" t="s">
        <v>1327</v>
      </c>
      <c r="AA626" s="1363"/>
      <c r="AB626" s="1364"/>
      <c r="AC626" s="1605"/>
      <c r="AD626" s="1606"/>
      <c r="AE626" s="1607"/>
      <c r="AF626" s="1430"/>
      <c r="AG626" s="1431"/>
      <c r="AH626" s="1431"/>
      <c r="AI626" s="1431"/>
      <c r="AJ626" s="1432"/>
      <c r="AK626" s="1434"/>
      <c r="AL626" s="1435"/>
      <c r="AM626" s="1435"/>
      <c r="AN626" s="1436"/>
      <c r="AO626" s="1427"/>
      <c r="AP626" s="1428"/>
      <c r="AQ626" s="1428"/>
      <c r="AR626" s="1428"/>
      <c r="AS626" s="1429"/>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415">
        <f>IF(J758="SRO/Studio",O758,0)</f>
        <v>0</v>
      </c>
      <c r="BO626" s="1416"/>
      <c r="BP626" s="1416"/>
      <c r="BQ626" s="1416"/>
      <c r="BR626" s="1417"/>
      <c r="BS626" s="1424">
        <f>IF(J758="1 Bedroom",O758,0)</f>
        <v>0</v>
      </c>
      <c r="BT626" s="1424"/>
      <c r="BU626" s="1424"/>
      <c r="BV626" s="1424"/>
      <c r="BW626" s="1424"/>
      <c r="BX626" s="1424">
        <f>IF(J758="2 Bedrooms",O758,0)</f>
        <v>1</v>
      </c>
      <c r="BY626" s="1424"/>
      <c r="BZ626" s="1424"/>
      <c r="CA626" s="1424"/>
      <c r="CB626" s="1424"/>
      <c r="CC626" s="1424">
        <f>IF(J758="3 Bedrooms",O758,0)</f>
        <v>0</v>
      </c>
      <c r="CD626" s="1424"/>
      <c r="CE626" s="1424"/>
      <c r="CF626" s="1424"/>
      <c r="CG626" s="1424"/>
      <c r="CH626" s="1424">
        <f>IF(J758="4 Bedrooms",O758,0)</f>
        <v>0</v>
      </c>
      <c r="CI626" s="1424"/>
      <c r="CJ626" s="1424"/>
      <c r="CK626" s="1424"/>
      <c r="CL626" s="1424"/>
      <c r="CM626" s="1424">
        <f>IF(J758="5 Bedrooms",O758,0)</f>
        <v>0</v>
      </c>
      <c r="CN626" s="1424"/>
      <c r="CO626" s="1424"/>
      <c r="CP626" s="1424"/>
      <c r="CQ626" s="1424"/>
      <c r="CR626" s="6"/>
      <c r="CS626" s="3"/>
      <c r="CT626" s="3"/>
      <c r="CU626" s="3"/>
      <c r="CV626" s="3"/>
      <c r="CW626" s="3"/>
      <c r="CX626" s="3"/>
      <c r="CY626" s="3"/>
      <c r="CZ626" s="3"/>
      <c r="DA626" s="3"/>
      <c r="DB626" s="3"/>
      <c r="DC626" s="3"/>
      <c r="DD626" s="3"/>
      <c r="DE626" s="3"/>
      <c r="DF626" s="3"/>
      <c r="DX626" s="1404" t="e">
        <f t="shared" si="23"/>
        <v>#VALUE!</v>
      </c>
      <c r="DY626" s="1404"/>
      <c r="DZ626" s="1404"/>
      <c r="EA626" s="1404"/>
      <c r="EB626" s="1404"/>
      <c r="EC626" s="1404">
        <f t="shared" si="24"/>
        <v>672.52499999999998</v>
      </c>
      <c r="ED626" s="1404"/>
      <c r="EE626" s="1404"/>
      <c r="EF626" s="1404"/>
      <c r="EG626" s="1404"/>
      <c r="EH626" s="1404" t="e">
        <f t="shared" si="25"/>
        <v>#VALUE!</v>
      </c>
      <c r="EI626" s="1404"/>
      <c r="EJ626" s="1404"/>
      <c r="EK626" s="1404"/>
      <c r="EL626" s="1404"/>
      <c r="EM626" s="1404" t="e">
        <f t="shared" si="26"/>
        <v>#VALUE!</v>
      </c>
      <c r="EN626" s="1404"/>
      <c r="EO626" s="1404"/>
      <c r="EP626" s="1404"/>
      <c r="EQ626" s="1404"/>
      <c r="ER626" s="1404" t="e">
        <f t="shared" si="27"/>
        <v>#VALUE!</v>
      </c>
      <c r="ES626" s="1404"/>
      <c r="ET626" s="1404"/>
      <c r="EU626" s="1404"/>
      <c r="EV626" s="1404"/>
      <c r="EW626" s="1404" t="e">
        <f t="shared" si="28"/>
        <v>#VALUE!</v>
      </c>
      <c r="EX626" s="1404"/>
      <c r="EY626" s="1404"/>
      <c r="EZ626" s="1404"/>
      <c r="FA626" s="1404"/>
    </row>
    <row r="627" spans="1:157" ht="12.95" customHeight="1">
      <c r="B627" s="52" t="s">
        <v>787</v>
      </c>
      <c r="C627" s="1349"/>
      <c r="D627" s="1349"/>
      <c r="E627" s="1349"/>
      <c r="F627" s="1349"/>
      <c r="G627" s="1349"/>
      <c r="H627" s="1349"/>
      <c r="I627" s="1349"/>
      <c r="J627" s="1349"/>
      <c r="K627" s="1349"/>
      <c r="L627" s="1349"/>
      <c r="M627" s="1402" t="s">
        <v>1327</v>
      </c>
      <c r="N627" s="1402"/>
      <c r="O627" s="1402"/>
      <c r="P627" s="1402"/>
      <c r="Q627" s="1359"/>
      <c r="R627" s="1360"/>
      <c r="S627" s="1361"/>
      <c r="T627" s="1359"/>
      <c r="U627" s="1360"/>
      <c r="V627" s="1361"/>
      <c r="W627" s="1365"/>
      <c r="X627" s="1366"/>
      <c r="Y627" s="1367"/>
      <c r="Z627" s="1362" t="s">
        <v>1327</v>
      </c>
      <c r="AA627" s="1363"/>
      <c r="AB627" s="1364"/>
      <c r="AC627" s="1605"/>
      <c r="AD627" s="1606"/>
      <c r="AE627" s="1607"/>
      <c r="AF627" s="1430"/>
      <c r="AG627" s="1431"/>
      <c r="AH627" s="1431"/>
      <c r="AI627" s="1431"/>
      <c r="AJ627" s="1432"/>
      <c r="AK627" s="1434"/>
      <c r="AL627" s="1435"/>
      <c r="AM627" s="1435"/>
      <c r="AN627" s="1436"/>
      <c r="AO627" s="1427"/>
      <c r="AP627" s="1428"/>
      <c r="AQ627" s="1428"/>
      <c r="AR627" s="1428"/>
      <c r="AS627" s="1429"/>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5">
        <f>IF(J759="SRO/Studio",O759,0)</f>
        <v>0</v>
      </c>
      <c r="BO627" s="1416"/>
      <c r="BP627" s="1416"/>
      <c r="BQ627" s="1416"/>
      <c r="BR627" s="1417"/>
      <c r="BS627" s="1424">
        <f>IF(J759="1 Bedroom",O759,0)</f>
        <v>0</v>
      </c>
      <c r="BT627" s="1424"/>
      <c r="BU627" s="1424"/>
      <c r="BV627" s="1424"/>
      <c r="BW627" s="1424"/>
      <c r="BX627" s="1424">
        <f>IF(J759="2 Bedrooms",O759,0)</f>
        <v>0</v>
      </c>
      <c r="BY627" s="1424"/>
      <c r="BZ627" s="1424"/>
      <c r="CA627" s="1424"/>
      <c r="CB627" s="1424"/>
      <c r="CC627" s="1424">
        <f>IF(J759="3 Bedrooms",O759,0)</f>
        <v>0</v>
      </c>
      <c r="CD627" s="1424"/>
      <c r="CE627" s="1424"/>
      <c r="CF627" s="1424"/>
      <c r="CG627" s="1424"/>
      <c r="CH627" s="1424">
        <f>IF(J759="4 Bedrooms",O759,0)</f>
        <v>0</v>
      </c>
      <c r="CI627" s="1424"/>
      <c r="CJ627" s="1424"/>
      <c r="CK627" s="1424"/>
      <c r="CL627" s="1424"/>
      <c r="CM627" s="1424">
        <f>IF(J759="5 Bedrooms",O759,0)</f>
        <v>0</v>
      </c>
      <c r="CN627" s="1424"/>
      <c r="CO627" s="1424"/>
      <c r="CP627" s="1424"/>
      <c r="CQ627" s="1424"/>
      <c r="CR627" s="6"/>
      <c r="CS627" s="3"/>
      <c r="CT627" s="3"/>
      <c r="CU627" s="3"/>
      <c r="CV627" s="3"/>
      <c r="CW627" s="3"/>
      <c r="CX627" s="3"/>
      <c r="CY627" s="3"/>
      <c r="CZ627" s="3"/>
      <c r="DA627" s="3"/>
      <c r="DB627" s="3"/>
      <c r="DC627" s="3"/>
      <c r="DD627" s="3"/>
      <c r="DE627" s="3"/>
      <c r="DF627" s="3"/>
      <c r="DX627" s="1404" t="e">
        <f t="shared" si="23"/>
        <v>#VALUE!</v>
      </c>
      <c r="DY627" s="1404"/>
      <c r="DZ627" s="1404"/>
      <c r="EA627" s="1404"/>
      <c r="EB627" s="1404"/>
      <c r="EC627" s="1404">
        <f t="shared" si="24"/>
        <v>36.800000000000004</v>
      </c>
      <c r="ED627" s="1404"/>
      <c r="EE627" s="1404"/>
      <c r="EF627" s="1404"/>
      <c r="EG627" s="1404"/>
      <c r="EH627" s="1404" t="e">
        <f t="shared" si="25"/>
        <v>#VALUE!</v>
      </c>
      <c r="EI627" s="1404"/>
      <c r="EJ627" s="1404"/>
      <c r="EK627" s="1404"/>
      <c r="EL627" s="1404"/>
      <c r="EM627" s="1404" t="e">
        <f t="shared" si="26"/>
        <v>#VALUE!</v>
      </c>
      <c r="EN627" s="1404"/>
      <c r="EO627" s="1404"/>
      <c r="EP627" s="1404"/>
      <c r="EQ627" s="1404"/>
      <c r="ER627" s="1404" t="e">
        <f t="shared" si="27"/>
        <v>#VALUE!</v>
      </c>
      <c r="ES627" s="1404"/>
      <c r="ET627" s="1404"/>
      <c r="EU627" s="1404"/>
      <c r="EV627" s="1404"/>
      <c r="EW627" s="1404" t="e">
        <f t="shared" si="28"/>
        <v>#VALUE!</v>
      </c>
      <c r="EX627" s="1404"/>
      <c r="EY627" s="1404"/>
      <c r="EZ627" s="1404"/>
      <c r="FA627" s="1404"/>
    </row>
    <row r="628" spans="1:157" ht="12.95" customHeight="1">
      <c r="B628" s="52" t="s">
        <v>593</v>
      </c>
      <c r="C628" s="1349"/>
      <c r="D628" s="1349"/>
      <c r="E628" s="1349"/>
      <c r="F628" s="1349"/>
      <c r="G628" s="1349"/>
      <c r="H628" s="1349"/>
      <c r="I628" s="1349"/>
      <c r="J628" s="1349"/>
      <c r="K628" s="1349"/>
      <c r="L628" s="1349"/>
      <c r="M628" s="1402" t="s">
        <v>1327</v>
      </c>
      <c r="N628" s="1402"/>
      <c r="O628" s="1402"/>
      <c r="P628" s="1402"/>
      <c r="Q628" s="1359"/>
      <c r="R628" s="1360"/>
      <c r="S628" s="1361"/>
      <c r="T628" s="1359"/>
      <c r="U628" s="1360"/>
      <c r="V628" s="1361"/>
      <c r="W628" s="1365"/>
      <c r="X628" s="1366"/>
      <c r="Y628" s="1367"/>
      <c r="Z628" s="1362" t="s">
        <v>1327</v>
      </c>
      <c r="AA628" s="1363"/>
      <c r="AB628" s="1364"/>
      <c r="AC628" s="1605"/>
      <c r="AD628" s="1606"/>
      <c r="AE628" s="1607"/>
      <c r="AF628" s="1430"/>
      <c r="AG628" s="1431"/>
      <c r="AH628" s="1431"/>
      <c r="AI628" s="1431"/>
      <c r="AJ628" s="1432"/>
      <c r="AK628" s="1434"/>
      <c r="AL628" s="1435"/>
      <c r="AM628" s="1435"/>
      <c r="AN628" s="1436"/>
      <c r="AO628" s="1427"/>
      <c r="AP628" s="1428"/>
      <c r="AQ628" s="1428"/>
      <c r="AR628" s="1428"/>
      <c r="AS628" s="142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5">
        <f>IF(J760="SRO/Studio",O760,0)</f>
        <v>0</v>
      </c>
      <c r="BO628" s="1416"/>
      <c r="BP628" s="1416"/>
      <c r="BQ628" s="1416"/>
      <c r="BR628" s="1417"/>
      <c r="BS628" s="1424">
        <f>IF(J760="1 Bedroom",O760,0)</f>
        <v>0</v>
      </c>
      <c r="BT628" s="1424"/>
      <c r="BU628" s="1424"/>
      <c r="BV628" s="1424"/>
      <c r="BW628" s="1424"/>
      <c r="BX628" s="1424">
        <f>IF(J760="2 Bedrooms",O760,0)</f>
        <v>0</v>
      </c>
      <c r="BY628" s="1424"/>
      <c r="BZ628" s="1424"/>
      <c r="CA628" s="1424"/>
      <c r="CB628" s="1424"/>
      <c r="CC628" s="1424">
        <f>IF(J760="3 Bedrooms",O760,0)</f>
        <v>0</v>
      </c>
      <c r="CD628" s="1424"/>
      <c r="CE628" s="1424"/>
      <c r="CF628" s="1424"/>
      <c r="CG628" s="1424"/>
      <c r="CH628" s="1424">
        <f>IF(J760="4 Bedrooms",O760,0)</f>
        <v>0</v>
      </c>
      <c r="CI628" s="1424"/>
      <c r="CJ628" s="1424"/>
      <c r="CK628" s="1424"/>
      <c r="CL628" s="1424"/>
      <c r="CM628" s="1424">
        <f>IF(J760="5 Bedrooms",O760,0)</f>
        <v>0</v>
      </c>
      <c r="CN628" s="1424"/>
      <c r="CO628" s="1424"/>
      <c r="CP628" s="1424"/>
      <c r="CQ628" s="1424"/>
      <c r="CR628" s="1049"/>
      <c r="CV628" s="3"/>
      <c r="CW628" s="3"/>
      <c r="CX628" s="3"/>
      <c r="CY628" s="3"/>
      <c r="CZ628" s="3"/>
      <c r="DA628" s="3"/>
      <c r="DB628" s="3"/>
      <c r="DC628" s="3"/>
      <c r="DD628" s="3"/>
      <c r="DE628" s="3"/>
      <c r="DF628" s="3"/>
      <c r="DX628" s="1404" t="e">
        <f t="shared" si="23"/>
        <v>#VALUE!</v>
      </c>
      <c r="DY628" s="1404"/>
      <c r="DZ628" s="1404"/>
      <c r="EA628" s="1404"/>
      <c r="EB628" s="1404"/>
      <c r="EC628" s="1404" t="e">
        <f t="shared" si="24"/>
        <v>#VALUE!</v>
      </c>
      <c r="ED628" s="1404"/>
      <c r="EE628" s="1404"/>
      <c r="EF628" s="1404"/>
      <c r="EG628" s="1404"/>
      <c r="EH628" s="1404">
        <f t="shared" si="25"/>
        <v>27.130434782608695</v>
      </c>
      <c r="EI628" s="1404"/>
      <c r="EJ628" s="1404"/>
      <c r="EK628" s="1404"/>
      <c r="EL628" s="1404"/>
      <c r="EM628" s="1404" t="e">
        <f t="shared" si="26"/>
        <v>#VALUE!</v>
      </c>
      <c r="EN628" s="1404"/>
      <c r="EO628" s="1404"/>
      <c r="EP628" s="1404"/>
      <c r="EQ628" s="1404"/>
      <c r="ER628" s="1404" t="e">
        <f t="shared" si="27"/>
        <v>#VALUE!</v>
      </c>
      <c r="ES628" s="1404"/>
      <c r="ET628" s="1404"/>
      <c r="EU628" s="1404"/>
      <c r="EV628" s="1404"/>
      <c r="EW628" s="1404" t="e">
        <f t="shared" si="28"/>
        <v>#VALUE!</v>
      </c>
      <c r="EX628" s="1404"/>
      <c r="EY628" s="1404"/>
      <c r="EZ628" s="1404"/>
      <c r="FA628" s="1404"/>
    </row>
    <row r="629" spans="1:157" ht="12.95" customHeight="1">
      <c r="B629" s="52" t="s">
        <v>464</v>
      </c>
      <c r="C629" s="1349"/>
      <c r="D629" s="1349"/>
      <c r="E629" s="1349"/>
      <c r="F629" s="1349"/>
      <c r="G629" s="1349"/>
      <c r="H629" s="1349"/>
      <c r="I629" s="1349"/>
      <c r="J629" s="1349"/>
      <c r="K629" s="1349"/>
      <c r="L629" s="1349"/>
      <c r="M629" s="1402" t="s">
        <v>1327</v>
      </c>
      <c r="N629" s="1402"/>
      <c r="O629" s="1402"/>
      <c r="P629" s="1402"/>
      <c r="Q629" s="1359"/>
      <c r="R629" s="1360"/>
      <c r="S629" s="1361"/>
      <c r="T629" s="1359"/>
      <c r="U629" s="1360"/>
      <c r="V629" s="1361"/>
      <c r="W629" s="1365"/>
      <c r="X629" s="1366"/>
      <c r="Y629" s="1367"/>
      <c r="Z629" s="1362" t="s">
        <v>1327</v>
      </c>
      <c r="AA629" s="1363"/>
      <c r="AB629" s="1364"/>
      <c r="AC629" s="1605"/>
      <c r="AD629" s="1606"/>
      <c r="AE629" s="1607"/>
      <c r="AF629" s="1430"/>
      <c r="AG629" s="1431"/>
      <c r="AH629" s="1431"/>
      <c r="AI629" s="1431"/>
      <c r="AJ629" s="1432"/>
      <c r="AK629" s="1434"/>
      <c r="AL629" s="1435"/>
      <c r="AM629" s="1435"/>
      <c r="AN629" s="1436"/>
      <c r="AO629" s="1427"/>
      <c r="AP629" s="1428"/>
      <c r="AQ629" s="1428"/>
      <c r="AR629" s="1428"/>
      <c r="AS629" s="142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5">
        <f>IF(J761="SRO/Studio",O761,0)</f>
        <v>0</v>
      </c>
      <c r="BO629" s="1416"/>
      <c r="BP629" s="1416"/>
      <c r="BQ629" s="1416"/>
      <c r="BR629" s="1417"/>
      <c r="BS629" s="1424">
        <f>IF(J761="1 Bedroom",O761,0)</f>
        <v>0</v>
      </c>
      <c r="BT629" s="1424"/>
      <c r="BU629" s="1424"/>
      <c r="BV629" s="1424"/>
      <c r="BW629" s="1424"/>
      <c r="BX629" s="1424">
        <f>IF(J761="2 Bedrooms",O761,0)</f>
        <v>0</v>
      </c>
      <c r="BY629" s="1424"/>
      <c r="BZ629" s="1424"/>
      <c r="CA629" s="1424"/>
      <c r="CB629" s="1424"/>
      <c r="CC629" s="1424">
        <f>IF(J761="3 Bedrooms",O761,0)</f>
        <v>0</v>
      </c>
      <c r="CD629" s="1424"/>
      <c r="CE629" s="1424"/>
      <c r="CF629" s="1424"/>
      <c r="CG629" s="1424"/>
      <c r="CH629" s="1424">
        <f>IF(J761="4 Bedrooms",O761,0)</f>
        <v>0</v>
      </c>
      <c r="CI629" s="1424"/>
      <c r="CJ629" s="1424"/>
      <c r="CK629" s="1424"/>
      <c r="CL629" s="1424"/>
      <c r="CM629" s="1424">
        <f>IF(J761="5 Bedrooms",O761,0)</f>
        <v>0</v>
      </c>
      <c r="CN629" s="1424"/>
      <c r="CO629" s="1424"/>
      <c r="CP629" s="1424"/>
      <c r="CQ629" s="1424"/>
      <c r="CV629" s="3"/>
      <c r="CW629" s="3"/>
      <c r="CX629" s="3"/>
      <c r="CY629" s="3"/>
      <c r="CZ629" s="3"/>
      <c r="DA629" s="3"/>
      <c r="DB629" s="3"/>
      <c r="DC629" s="3"/>
      <c r="DD629" s="3"/>
      <c r="DE629" s="3"/>
      <c r="DF629" s="3"/>
      <c r="DX629" s="1404" t="e">
        <f t="shared" si="23"/>
        <v>#VALUE!</v>
      </c>
      <c r="DY629" s="1404"/>
      <c r="DZ629" s="1404"/>
      <c r="EA629" s="1404"/>
      <c r="EB629" s="1404"/>
      <c r="EC629" s="1404" t="e">
        <f t="shared" si="24"/>
        <v>#VALUE!</v>
      </c>
      <c r="ED629" s="1404"/>
      <c r="EE629" s="1404"/>
      <c r="EF629" s="1404"/>
      <c r="EG629" s="1404"/>
      <c r="EH629" s="1404">
        <f t="shared" si="25"/>
        <v>164.34782608695653</v>
      </c>
      <c r="EI629" s="1404"/>
      <c r="EJ629" s="1404"/>
      <c r="EK629" s="1404"/>
      <c r="EL629" s="1404"/>
      <c r="EM629" s="1404" t="e">
        <f t="shared" si="26"/>
        <v>#VALUE!</v>
      </c>
      <c r="EN629" s="1404"/>
      <c r="EO629" s="1404"/>
      <c r="EP629" s="1404"/>
      <c r="EQ629" s="1404"/>
      <c r="ER629" s="1404" t="e">
        <f t="shared" si="27"/>
        <v>#VALUE!</v>
      </c>
      <c r="ES629" s="1404"/>
      <c r="ET629" s="1404"/>
      <c r="EU629" s="1404"/>
      <c r="EV629" s="1404"/>
      <c r="EW629" s="1404" t="e">
        <f t="shared" si="28"/>
        <v>#VALUE!</v>
      </c>
      <c r="EX629" s="1404"/>
      <c r="EY629" s="1404"/>
      <c r="EZ629" s="1404"/>
      <c r="FA629" s="1404"/>
    </row>
    <row r="630" spans="1:157" ht="12.95" customHeight="1">
      <c r="B630" s="52" t="s">
        <v>465</v>
      </c>
      <c r="C630" s="1349"/>
      <c r="D630" s="1349"/>
      <c r="E630" s="1349"/>
      <c r="F630" s="1349"/>
      <c r="G630" s="1349"/>
      <c r="H630" s="1349"/>
      <c r="I630" s="1349"/>
      <c r="J630" s="1349"/>
      <c r="K630" s="1349"/>
      <c r="L630" s="1349"/>
      <c r="M630" s="1402" t="s">
        <v>1327</v>
      </c>
      <c r="N630" s="1402"/>
      <c r="O630" s="1402"/>
      <c r="P630" s="1402"/>
      <c r="Q630" s="1359"/>
      <c r="R630" s="1360"/>
      <c r="S630" s="1361"/>
      <c r="T630" s="1359"/>
      <c r="U630" s="1360"/>
      <c r="V630" s="1361"/>
      <c r="W630" s="1365"/>
      <c r="X630" s="1366"/>
      <c r="Y630" s="1367"/>
      <c r="Z630" s="1362" t="s">
        <v>1327</v>
      </c>
      <c r="AA630" s="1363"/>
      <c r="AB630" s="1364"/>
      <c r="AC630" s="1605"/>
      <c r="AD630" s="1606"/>
      <c r="AE630" s="1607"/>
      <c r="AF630" s="1430"/>
      <c r="AG630" s="1431"/>
      <c r="AH630" s="1431"/>
      <c r="AI630" s="1431"/>
      <c r="AJ630" s="1432"/>
      <c r="AK630" s="1434"/>
      <c r="AL630" s="1435"/>
      <c r="AM630" s="1435"/>
      <c r="AN630" s="1436"/>
      <c r="AO630" s="1427"/>
      <c r="AP630" s="1428"/>
      <c r="AQ630" s="1428"/>
      <c r="AR630" s="1428"/>
      <c r="AS630" s="142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7">
        <f>SUM(BN626:BR629)</f>
        <v>0</v>
      </c>
      <c r="BO630" s="1661"/>
      <c r="BP630" s="1661"/>
      <c r="BQ630" s="1661"/>
      <c r="BR630" s="1438"/>
      <c r="BS630" s="1418">
        <f>SUM(BS626:BW629)</f>
        <v>0</v>
      </c>
      <c r="BT630" s="1419"/>
      <c r="BU630" s="1419"/>
      <c r="BV630" s="1419"/>
      <c r="BW630" s="1420"/>
      <c r="BX630" s="1418">
        <f>SUM(BX626:CB629)</f>
        <v>1</v>
      </c>
      <c r="BY630" s="1419"/>
      <c r="BZ630" s="1419"/>
      <c r="CA630" s="1419"/>
      <c r="CB630" s="1420"/>
      <c r="CC630" s="1418">
        <f>SUM(CC626:CG629)</f>
        <v>0</v>
      </c>
      <c r="CD630" s="1419"/>
      <c r="CE630" s="1419"/>
      <c r="CF630" s="1419"/>
      <c r="CG630" s="1420"/>
      <c r="CH630" s="1418">
        <f>SUM(CH626:CL629)</f>
        <v>0</v>
      </c>
      <c r="CI630" s="1419"/>
      <c r="CJ630" s="1419"/>
      <c r="CK630" s="1419"/>
      <c r="CL630" s="1420"/>
      <c r="CM630" s="1418">
        <f>SUM(CM626:CQ629)</f>
        <v>0</v>
      </c>
      <c r="CN630" s="1419"/>
      <c r="CO630" s="1419"/>
      <c r="CP630" s="1419"/>
      <c r="CQ630" s="1420"/>
      <c r="CS630" s="897">
        <f>BN630+BS630+BX630+CC630+CH630+CM630</f>
        <v>1</v>
      </c>
      <c r="CT630" s="57" t="s">
        <v>2122</v>
      </c>
      <c r="CU630" s="3"/>
      <c r="CV630" s="3"/>
      <c r="CW630" s="3"/>
      <c r="CX630" s="3"/>
      <c r="CY630" s="3"/>
      <c r="CZ630" s="3"/>
      <c r="DA630" s="3"/>
      <c r="DB630" s="3"/>
      <c r="DC630" s="3"/>
      <c r="DD630" s="3"/>
      <c r="DE630" s="3"/>
      <c r="DF630" s="3"/>
      <c r="DX630" s="1404" t="e">
        <f t="shared" si="23"/>
        <v>#VALUE!</v>
      </c>
      <c r="DY630" s="1404"/>
      <c r="DZ630" s="1404"/>
      <c r="EA630" s="1404"/>
      <c r="EB630" s="1404"/>
      <c r="EC630" s="1404" t="e">
        <f t="shared" si="24"/>
        <v>#VALUE!</v>
      </c>
      <c r="ED630" s="1404"/>
      <c r="EE630" s="1404"/>
      <c r="EF630" s="1404"/>
      <c r="EG630" s="1404"/>
      <c r="EH630" s="1404">
        <f t="shared" si="25"/>
        <v>362.76086956521738</v>
      </c>
      <c r="EI630" s="1404"/>
      <c r="EJ630" s="1404"/>
      <c r="EK630" s="1404"/>
      <c r="EL630" s="1404"/>
      <c r="EM630" s="1404" t="e">
        <f t="shared" si="26"/>
        <v>#VALUE!</v>
      </c>
      <c r="EN630" s="1404"/>
      <c r="EO630" s="1404"/>
      <c r="EP630" s="1404"/>
      <c r="EQ630" s="1404"/>
      <c r="ER630" s="1404" t="e">
        <f t="shared" si="27"/>
        <v>#VALUE!</v>
      </c>
      <c r="ES630" s="1404"/>
      <c r="ET630" s="1404"/>
      <c r="EU630" s="1404"/>
      <c r="EV630" s="1404"/>
      <c r="EW630" s="1404" t="e">
        <f t="shared" si="28"/>
        <v>#VALUE!</v>
      </c>
      <c r="EX630" s="1404"/>
      <c r="EY630" s="1404"/>
      <c r="EZ630" s="1404"/>
      <c r="FA630" s="1404"/>
    </row>
    <row r="631" spans="1:157" ht="12.95" customHeight="1">
      <c r="B631" s="52" t="s">
        <v>470</v>
      </c>
      <c r="C631" s="1349"/>
      <c r="D631" s="1349"/>
      <c r="E631" s="1349"/>
      <c r="F631" s="1349"/>
      <c r="G631" s="1349"/>
      <c r="H631" s="1349"/>
      <c r="I631" s="1349"/>
      <c r="J631" s="1349"/>
      <c r="K631" s="1349"/>
      <c r="L631" s="1349"/>
      <c r="M631" s="1402" t="s">
        <v>1327</v>
      </c>
      <c r="N631" s="1402"/>
      <c r="O631" s="1402"/>
      <c r="P631" s="1402"/>
      <c r="Q631" s="1359"/>
      <c r="R631" s="1360"/>
      <c r="S631" s="1361"/>
      <c r="T631" s="1359"/>
      <c r="U631" s="1360"/>
      <c r="V631" s="1361"/>
      <c r="W631" s="1365"/>
      <c r="X631" s="1366"/>
      <c r="Y631" s="1367"/>
      <c r="Z631" s="1362" t="s">
        <v>1327</v>
      </c>
      <c r="AA631" s="1363"/>
      <c r="AB631" s="1364"/>
      <c r="AC631" s="1605"/>
      <c r="AD631" s="1606"/>
      <c r="AE631" s="1607"/>
      <c r="AF631" s="1430"/>
      <c r="AG631" s="1431"/>
      <c r="AH631" s="1431"/>
      <c r="AI631" s="1431"/>
      <c r="AJ631" s="1432"/>
      <c r="AK631" s="1434"/>
      <c r="AL631" s="1435"/>
      <c r="AM631" s="1435"/>
      <c r="AN631" s="1436"/>
      <c r="AO631" s="1427"/>
      <c r="AP631" s="1428"/>
      <c r="AQ631" s="1428"/>
      <c r="AR631" s="1428"/>
      <c r="AS631" s="142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404" t="e">
        <f t="shared" si="23"/>
        <v>#VALUE!</v>
      </c>
      <c r="DY631" s="1404"/>
      <c r="DZ631" s="1404"/>
      <c r="EA631" s="1404"/>
      <c r="EB631" s="1404"/>
      <c r="EC631" s="1404" t="e">
        <f t="shared" si="24"/>
        <v>#VALUE!</v>
      </c>
      <c r="ED631" s="1404"/>
      <c r="EE631" s="1404"/>
      <c r="EF631" s="1404"/>
      <c r="EG631" s="1404"/>
      <c r="EH631" s="1404">
        <f t="shared" si="25"/>
        <v>40.695652173913039</v>
      </c>
      <c r="EI631" s="1404"/>
      <c r="EJ631" s="1404"/>
      <c r="EK631" s="1404"/>
      <c r="EL631" s="1404"/>
      <c r="EM631" s="1404" t="e">
        <f t="shared" si="26"/>
        <v>#VALUE!</v>
      </c>
      <c r="EN631" s="1404"/>
      <c r="EO631" s="1404"/>
      <c r="EP631" s="1404"/>
      <c r="EQ631" s="1404"/>
      <c r="ER631" s="1404" t="e">
        <f t="shared" si="27"/>
        <v>#VALUE!</v>
      </c>
      <c r="ES631" s="1404"/>
      <c r="ET631" s="1404"/>
      <c r="EU631" s="1404"/>
      <c r="EV631" s="1404"/>
      <c r="EW631" s="1404" t="e">
        <f t="shared" si="28"/>
        <v>#VALUE!</v>
      </c>
      <c r="EX631" s="1404"/>
      <c r="EY631" s="1404"/>
      <c r="EZ631" s="1404"/>
      <c r="FA631" s="1404"/>
    </row>
    <row r="632" spans="1:157" ht="12.95" customHeight="1">
      <c r="B632" s="52" t="s">
        <v>655</v>
      </c>
      <c r="C632" s="1349"/>
      <c r="D632" s="1349"/>
      <c r="E632" s="1349"/>
      <c r="F632" s="1349"/>
      <c r="G632" s="1349"/>
      <c r="H632" s="1349"/>
      <c r="I632" s="1349"/>
      <c r="J632" s="1349"/>
      <c r="K632" s="1349"/>
      <c r="L632" s="1349"/>
      <c r="M632" s="1402" t="s">
        <v>1327</v>
      </c>
      <c r="N632" s="1402"/>
      <c r="O632" s="1402"/>
      <c r="P632" s="1402"/>
      <c r="Q632" s="1359"/>
      <c r="R632" s="1360"/>
      <c r="S632" s="1361"/>
      <c r="T632" s="1359"/>
      <c r="U632" s="1360"/>
      <c r="V632" s="1361"/>
      <c r="W632" s="1365"/>
      <c r="X632" s="1366"/>
      <c r="Y632" s="1367"/>
      <c r="Z632" s="1362" t="s">
        <v>1327</v>
      </c>
      <c r="AA632" s="1363"/>
      <c r="AB632" s="1364"/>
      <c r="AC632" s="1605"/>
      <c r="AD632" s="1606"/>
      <c r="AE632" s="1607"/>
      <c r="AF632" s="1430"/>
      <c r="AG632" s="1431"/>
      <c r="AH632" s="1431"/>
      <c r="AI632" s="1431"/>
      <c r="AJ632" s="1432"/>
      <c r="AK632" s="1434"/>
      <c r="AL632" s="1435"/>
      <c r="AM632" s="1435"/>
      <c r="AN632" s="1436"/>
      <c r="AO632" s="1427"/>
      <c r="AP632" s="1428"/>
      <c r="AQ632" s="1428"/>
      <c r="AR632" s="1428"/>
      <c r="AS632" s="142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4" t="e">
        <f t="shared" si="23"/>
        <v>#VALUE!</v>
      </c>
      <c r="DY632" s="1404"/>
      <c r="DZ632" s="1404"/>
      <c r="EA632" s="1404"/>
      <c r="EB632" s="1404"/>
      <c r="EC632" s="1404" t="e">
        <f t="shared" si="24"/>
        <v>#VALUE!</v>
      </c>
      <c r="ED632" s="1404"/>
      <c r="EE632" s="1404"/>
      <c r="EF632" s="1404"/>
      <c r="EG632" s="1404"/>
      <c r="EH632" s="1404">
        <f t="shared" si="25"/>
        <v>234.78260869565216</v>
      </c>
      <c r="EI632" s="1404"/>
      <c r="EJ632" s="1404"/>
      <c r="EK632" s="1404"/>
      <c r="EL632" s="1404"/>
      <c r="EM632" s="1404" t="e">
        <f t="shared" si="26"/>
        <v>#VALUE!</v>
      </c>
      <c r="EN632" s="1404"/>
      <c r="EO632" s="1404"/>
      <c r="EP632" s="1404"/>
      <c r="EQ632" s="1404"/>
      <c r="ER632" s="1404" t="e">
        <f t="shared" si="27"/>
        <v>#VALUE!</v>
      </c>
      <c r="ES632" s="1404"/>
      <c r="ET632" s="1404"/>
      <c r="EU632" s="1404"/>
      <c r="EV632" s="1404"/>
      <c r="EW632" s="1404" t="e">
        <f t="shared" si="28"/>
        <v>#VALUE!</v>
      </c>
      <c r="EX632" s="1404"/>
      <c r="EY632" s="1404"/>
      <c r="EZ632" s="1404"/>
      <c r="FA632" s="1404"/>
    </row>
    <row r="633" spans="1:157" ht="12.95" customHeight="1">
      <c r="B633" s="52" t="s">
        <v>363</v>
      </c>
      <c r="C633" s="1349"/>
      <c r="D633" s="1349"/>
      <c r="E633" s="1349"/>
      <c r="F633" s="1349"/>
      <c r="G633" s="1349"/>
      <c r="H633" s="1349"/>
      <c r="I633" s="1349"/>
      <c r="J633" s="1349"/>
      <c r="K633" s="1349"/>
      <c r="L633" s="1349"/>
      <c r="M633" s="1402" t="s">
        <v>1327</v>
      </c>
      <c r="N633" s="1402"/>
      <c r="O633" s="1402"/>
      <c r="P633" s="1402"/>
      <c r="Q633" s="1359"/>
      <c r="R633" s="1360"/>
      <c r="S633" s="1361"/>
      <c r="T633" s="1359"/>
      <c r="U633" s="1360"/>
      <c r="V633" s="1361"/>
      <c r="W633" s="1365"/>
      <c r="X633" s="1366"/>
      <c r="Y633" s="1367"/>
      <c r="Z633" s="1362" t="s">
        <v>1327</v>
      </c>
      <c r="AA633" s="1363"/>
      <c r="AB633" s="1364"/>
      <c r="AC633" s="1605"/>
      <c r="AD633" s="1606"/>
      <c r="AE633" s="1607"/>
      <c r="AF633" s="1430"/>
      <c r="AG633" s="1431"/>
      <c r="AH633" s="1431"/>
      <c r="AI633" s="1431"/>
      <c r="AJ633" s="1432"/>
      <c r="AK633" s="1434"/>
      <c r="AL633" s="1435"/>
      <c r="AM633" s="1435"/>
      <c r="AN633" s="1436"/>
      <c r="AO633" s="1427"/>
      <c r="AP633" s="1428"/>
      <c r="AQ633" s="1428"/>
      <c r="AR633" s="1428"/>
      <c r="AS633" s="142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04" t="e">
        <f t="shared" si="23"/>
        <v>#VALUE!</v>
      </c>
      <c r="DY633" s="1404"/>
      <c r="DZ633" s="1404"/>
      <c r="EA633" s="1404"/>
      <c r="EB633" s="1404"/>
      <c r="EC633" s="1404" t="e">
        <f t="shared" si="24"/>
        <v>#VALUE!</v>
      </c>
      <c r="ED633" s="1404"/>
      <c r="EE633" s="1404"/>
      <c r="EF633" s="1404"/>
      <c r="EG633" s="1404"/>
      <c r="EH633" s="1404">
        <f t="shared" si="25"/>
        <v>400.695652173913</v>
      </c>
      <c r="EI633" s="1404"/>
      <c r="EJ633" s="1404"/>
      <c r="EK633" s="1404"/>
      <c r="EL633" s="1404"/>
      <c r="EM633" s="1404" t="e">
        <f t="shared" si="26"/>
        <v>#VALUE!</v>
      </c>
      <c r="EN633" s="1404"/>
      <c r="EO633" s="1404"/>
      <c r="EP633" s="1404"/>
      <c r="EQ633" s="1404"/>
      <c r="ER633" s="1404" t="e">
        <f t="shared" si="27"/>
        <v>#VALUE!</v>
      </c>
      <c r="ES633" s="1404"/>
      <c r="ET633" s="1404"/>
      <c r="EU633" s="1404"/>
      <c r="EV633" s="1404"/>
      <c r="EW633" s="1404" t="e">
        <f t="shared" si="28"/>
        <v>#VALUE!</v>
      </c>
      <c r="EX633" s="1404"/>
      <c r="EY633" s="1404"/>
      <c r="EZ633" s="1404"/>
      <c r="FA633" s="1404"/>
    </row>
    <row r="634" spans="1:157" ht="12.95" customHeight="1">
      <c r="B634" s="52" t="s">
        <v>364</v>
      </c>
      <c r="C634" s="1349"/>
      <c r="D634" s="1349"/>
      <c r="E634" s="1349"/>
      <c r="F634" s="1349"/>
      <c r="G634" s="1349"/>
      <c r="H634" s="1349"/>
      <c r="I634" s="1349"/>
      <c r="J634" s="1349"/>
      <c r="K634" s="1349"/>
      <c r="L634" s="1349"/>
      <c r="M634" s="1402" t="s">
        <v>1327</v>
      </c>
      <c r="N634" s="1402"/>
      <c r="O634" s="1402"/>
      <c r="P634" s="1402"/>
      <c r="Q634" s="1359"/>
      <c r="R634" s="1360"/>
      <c r="S634" s="1361"/>
      <c r="T634" s="1359"/>
      <c r="U634" s="1360"/>
      <c r="V634" s="1361"/>
      <c r="W634" s="1365"/>
      <c r="X634" s="1366"/>
      <c r="Y634" s="1367"/>
      <c r="Z634" s="1362" t="s">
        <v>1327</v>
      </c>
      <c r="AA634" s="1363"/>
      <c r="AB634" s="1364"/>
      <c r="AC634" s="1605"/>
      <c r="AD634" s="1606"/>
      <c r="AE634" s="1607"/>
      <c r="AF634" s="1430"/>
      <c r="AG634" s="1431"/>
      <c r="AH634" s="1431"/>
      <c r="AI634" s="1431"/>
      <c r="AJ634" s="1432"/>
      <c r="AK634" s="1434"/>
      <c r="AL634" s="1435"/>
      <c r="AM634" s="1435"/>
      <c r="AN634" s="1436"/>
      <c r="AO634" s="1427"/>
      <c r="AP634" s="1428"/>
      <c r="AQ634" s="1428"/>
      <c r="AR634" s="1428"/>
      <c r="AS634" s="142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5">
        <f t="shared" ref="BN634:BN643" si="30">IF(J772="SRO/Studio",O772,0)</f>
        <v>0</v>
      </c>
      <c r="BO634" s="1416"/>
      <c r="BP634" s="1416"/>
      <c r="BQ634" s="1416"/>
      <c r="BR634" s="1417"/>
      <c r="BS634" s="1424">
        <f t="shared" ref="BS634:BS643" si="31">IF(J772="1 Bedroom",O772,0)</f>
        <v>0</v>
      </c>
      <c r="BT634" s="1424"/>
      <c r="BU634" s="1424"/>
      <c r="BV634" s="1424"/>
      <c r="BW634" s="1424"/>
      <c r="BX634" s="1424">
        <f t="shared" ref="BX634:BX643" si="32">IF(J772="2 Bedrooms",O772,0)</f>
        <v>0</v>
      </c>
      <c r="BY634" s="1424"/>
      <c r="BZ634" s="1424"/>
      <c r="CA634" s="1424"/>
      <c r="CB634" s="1424"/>
      <c r="CC634" s="1424">
        <f t="shared" ref="CC634:CC643" si="33">IF(J772="3 Bedrooms",O772,0)</f>
        <v>0</v>
      </c>
      <c r="CD634" s="1424"/>
      <c r="CE634" s="1424"/>
      <c r="CF634" s="1424"/>
      <c r="CG634" s="1424"/>
      <c r="CH634" s="1424">
        <f t="shared" ref="CH634:CH643" si="34">IF(J772="4 Bedrooms",O772,0)</f>
        <v>0</v>
      </c>
      <c r="CI634" s="1424"/>
      <c r="CJ634" s="1424"/>
      <c r="CK634" s="1424"/>
      <c r="CL634" s="1424"/>
      <c r="CM634" s="1424">
        <f t="shared" ref="CM634:CM643" si="35">IF(J772="5 Bedrooms",O772,0)</f>
        <v>0</v>
      </c>
      <c r="CN634" s="1424"/>
      <c r="CO634" s="1424"/>
      <c r="CP634" s="1424"/>
      <c r="CQ634" s="1424"/>
      <c r="CR634" s="6"/>
      <c r="CS634" s="1415">
        <f>IF(AND(BN634&gt;=1,AH772&gt;=0.1,AH772&lt;=1),O772,0)</f>
        <v>0</v>
      </c>
      <c r="CT634" s="1416"/>
      <c r="CU634" s="1416"/>
      <c r="CV634" s="1416"/>
      <c r="CW634" s="1417"/>
      <c r="CX634" s="1415">
        <f>IF(AND(BS634&gt;=1,AH772&gt;=0.1,AH772&lt;=1),O772,0)</f>
        <v>0</v>
      </c>
      <c r="CY634" s="1416"/>
      <c r="CZ634" s="1416"/>
      <c r="DA634" s="1416"/>
      <c r="DB634" s="1417"/>
      <c r="DC634" s="1415">
        <f>IF(AND(BX634&gt;=1,AH772&gt;=0.1,AH772&lt;=1),O772,0)</f>
        <v>0</v>
      </c>
      <c r="DD634" s="1416"/>
      <c r="DE634" s="1416"/>
      <c r="DF634" s="1416"/>
      <c r="DG634" s="1417"/>
      <c r="DH634" s="1415">
        <f>IF(AND(CC634&gt;=1,AH772&gt;=0.1,AH772&lt;=1),O772,0)</f>
        <v>0</v>
      </c>
      <c r="DI634" s="1416"/>
      <c r="DJ634" s="1416"/>
      <c r="DK634" s="1416"/>
      <c r="DL634" s="1417"/>
      <c r="DM634" s="1415">
        <f>IF(AND(CH634&gt;=1,AH772&gt;=0.1,AH772&lt;=1),O772,0)</f>
        <v>0</v>
      </c>
      <c r="DN634" s="1416"/>
      <c r="DO634" s="1416"/>
      <c r="DP634" s="1416"/>
      <c r="DQ634" s="1417"/>
      <c r="DR634" s="1415">
        <f>IF(AND(CM634&gt;=1,AH772&gt;=0.1,AH772&lt;=1),O772,0)</f>
        <v>0</v>
      </c>
      <c r="DS634" s="1416"/>
      <c r="DT634" s="1416"/>
      <c r="DU634" s="1416"/>
      <c r="DV634" s="1417"/>
      <c r="DX634" s="1404" t="e">
        <f t="shared" si="23"/>
        <v>#VALUE!</v>
      </c>
      <c r="DY634" s="1404"/>
      <c r="DZ634" s="1404"/>
      <c r="EA634" s="1404"/>
      <c r="EB634" s="1404"/>
      <c r="EC634" s="1404" t="e">
        <f t="shared" si="24"/>
        <v>#VALUE!</v>
      </c>
      <c r="ED634" s="1404"/>
      <c r="EE634" s="1404"/>
      <c r="EF634" s="1404"/>
      <c r="EG634" s="1404"/>
      <c r="EH634" s="1404">
        <f t="shared" si="25"/>
        <v>38.347826086956523</v>
      </c>
      <c r="EI634" s="1404"/>
      <c r="EJ634" s="1404"/>
      <c r="EK634" s="1404"/>
      <c r="EL634" s="1404"/>
      <c r="EM634" s="1404" t="e">
        <f t="shared" si="26"/>
        <v>#VALUE!</v>
      </c>
      <c r="EN634" s="1404"/>
      <c r="EO634" s="1404"/>
      <c r="EP634" s="1404"/>
      <c r="EQ634" s="1404"/>
      <c r="ER634" s="1404" t="e">
        <f t="shared" si="27"/>
        <v>#VALUE!</v>
      </c>
      <c r="ES634" s="1404"/>
      <c r="ET634" s="1404"/>
      <c r="EU634" s="1404"/>
      <c r="EV634" s="1404"/>
      <c r="EW634" s="1404" t="e">
        <f t="shared" si="28"/>
        <v>#VALUE!</v>
      </c>
      <c r="EX634" s="1404"/>
      <c r="EY634" s="1404"/>
      <c r="EZ634" s="1404"/>
      <c r="FA634" s="1404"/>
    </row>
    <row r="635" spans="1:157" ht="12.95" customHeight="1">
      <c r="B635" s="1574" t="s">
        <v>129</v>
      </c>
      <c r="C635" s="1575"/>
      <c r="D635" s="1575"/>
      <c r="E635" s="1575"/>
      <c r="F635" s="1575"/>
      <c r="G635" s="1575"/>
      <c r="H635" s="1575"/>
      <c r="I635" s="1575"/>
      <c r="J635" s="1575"/>
      <c r="K635" s="1575"/>
      <c r="L635" s="1575"/>
      <c r="M635" s="1575"/>
      <c r="N635" s="1575"/>
      <c r="O635" s="1575"/>
      <c r="P635" s="1575"/>
      <c r="Q635" s="1575"/>
      <c r="R635" s="1575"/>
      <c r="S635" s="1575"/>
      <c r="T635" s="1575"/>
      <c r="U635" s="1575"/>
      <c r="V635" s="1575"/>
      <c r="W635" s="1575"/>
      <c r="X635" s="1575"/>
      <c r="Y635" s="1575"/>
      <c r="Z635" s="1575"/>
      <c r="AA635" s="1575"/>
      <c r="AB635" s="1575"/>
      <c r="AC635" s="1575"/>
      <c r="AD635" s="1575"/>
      <c r="AE635" s="1575"/>
      <c r="AF635" s="1575"/>
      <c r="AG635" s="1575"/>
      <c r="AH635" s="1575"/>
      <c r="AI635" s="1575"/>
      <c r="AJ635" s="1575"/>
      <c r="AK635" s="1575"/>
      <c r="AL635" s="1575"/>
      <c r="AM635" s="1575"/>
      <c r="AN635" s="1576"/>
      <c r="AO635" s="1638">
        <f>SUM(AO623:AR634)</f>
        <v>17543630</v>
      </c>
      <c r="AP635" s="1639"/>
      <c r="AQ635" s="1639"/>
      <c r="AR635" s="1639"/>
      <c r="AS635" s="1640"/>
      <c r="AZ635" s="3"/>
      <c r="BA635" s="3"/>
      <c r="BB635" s="3"/>
      <c r="BC635" s="3"/>
      <c r="BD635" s="3"/>
      <c r="BE635" s="3"/>
      <c r="BF635" s="3"/>
      <c r="BG635" s="3"/>
      <c r="BH635" s="3"/>
      <c r="BI635" s="3"/>
      <c r="BJ635" s="3"/>
      <c r="BK635" s="3"/>
      <c r="BL635" s="3"/>
      <c r="BM635" s="3"/>
      <c r="BN635" s="1415">
        <f t="shared" si="30"/>
        <v>0</v>
      </c>
      <c r="BO635" s="1416"/>
      <c r="BP635" s="1416"/>
      <c r="BQ635" s="1416"/>
      <c r="BR635" s="1417"/>
      <c r="BS635" s="1424">
        <f t="shared" si="31"/>
        <v>0</v>
      </c>
      <c r="BT635" s="1424"/>
      <c r="BU635" s="1424"/>
      <c r="BV635" s="1424"/>
      <c r="BW635" s="1424"/>
      <c r="BX635" s="1424">
        <f t="shared" si="32"/>
        <v>0</v>
      </c>
      <c r="BY635" s="1424"/>
      <c r="BZ635" s="1424"/>
      <c r="CA635" s="1424"/>
      <c r="CB635" s="1424"/>
      <c r="CC635" s="1424">
        <f t="shared" si="33"/>
        <v>0</v>
      </c>
      <c r="CD635" s="1424"/>
      <c r="CE635" s="1424"/>
      <c r="CF635" s="1424"/>
      <c r="CG635" s="1424"/>
      <c r="CH635" s="1424">
        <f t="shared" si="34"/>
        <v>0</v>
      </c>
      <c r="CI635" s="1424"/>
      <c r="CJ635" s="1424"/>
      <c r="CK635" s="1424"/>
      <c r="CL635" s="1424"/>
      <c r="CM635" s="1424">
        <f t="shared" si="35"/>
        <v>0</v>
      </c>
      <c r="CN635" s="1424"/>
      <c r="CO635" s="1424"/>
      <c r="CP635" s="1424"/>
      <c r="CQ635" s="1424"/>
      <c r="CR635" s="6"/>
      <c r="CS635" s="1415">
        <f t="shared" ref="CS635:CS643" si="36">IF(AND(BN635&gt;=1,AH773&gt;=0.1,AH773&lt;=1),O773,0)</f>
        <v>0</v>
      </c>
      <c r="CT635" s="1416"/>
      <c r="CU635" s="1416"/>
      <c r="CV635" s="1416"/>
      <c r="CW635" s="1417"/>
      <c r="CX635" s="1415">
        <f t="shared" ref="CX635:CX643" si="37">IF(AND(BS635&gt;=1,AH773&gt;=0.1,AH773&lt;=1),O773,0)</f>
        <v>0</v>
      </c>
      <c r="CY635" s="1416"/>
      <c r="CZ635" s="1416"/>
      <c r="DA635" s="1416"/>
      <c r="DB635" s="1417"/>
      <c r="DC635" s="1415">
        <f t="shared" ref="DC635:DC643" si="38">IF(AND(BX635&gt;=1,AH773&gt;=0.1,AH773&lt;=1),O773,0)</f>
        <v>0</v>
      </c>
      <c r="DD635" s="1416"/>
      <c r="DE635" s="1416"/>
      <c r="DF635" s="1416"/>
      <c r="DG635" s="1417"/>
      <c r="DH635" s="1415">
        <f t="shared" ref="DH635:DH643" si="39">IF(AND(CC635&gt;=1,AH773&gt;=0.1,AH773&lt;=1),O773,0)</f>
        <v>0</v>
      </c>
      <c r="DI635" s="1416"/>
      <c r="DJ635" s="1416"/>
      <c r="DK635" s="1416"/>
      <c r="DL635" s="1417"/>
      <c r="DM635" s="1415">
        <f t="shared" ref="DM635:DM643" si="40">IF(AND(CH635&gt;=1,AH773&gt;=0.1,AH773&lt;=1),O773,0)</f>
        <v>0</v>
      </c>
      <c r="DN635" s="1416"/>
      <c r="DO635" s="1416"/>
      <c r="DP635" s="1416"/>
      <c r="DQ635" s="1417"/>
      <c r="DR635" s="1415">
        <f t="shared" ref="DR635:DR643" si="41">IF(AND(CM635&gt;=1,AH773&gt;=0.1,AH773&lt;=1),O773,0)</f>
        <v>0</v>
      </c>
      <c r="DS635" s="1416"/>
      <c r="DT635" s="1416"/>
      <c r="DU635" s="1416"/>
      <c r="DV635" s="1417"/>
      <c r="DX635" s="1404" t="e">
        <f t="shared" si="23"/>
        <v>#VALUE!</v>
      </c>
      <c r="DY635" s="1404"/>
      <c r="DZ635" s="1404"/>
      <c r="EA635" s="1404"/>
      <c r="EB635" s="1404"/>
      <c r="EC635" s="1404" t="e">
        <f t="shared" si="24"/>
        <v>#VALUE!</v>
      </c>
      <c r="ED635" s="1404"/>
      <c r="EE635" s="1404"/>
      <c r="EF635" s="1404"/>
      <c r="EG635" s="1404"/>
      <c r="EH635" s="1404" t="e">
        <f t="shared" si="25"/>
        <v>#VALUE!</v>
      </c>
      <c r="EI635" s="1404"/>
      <c r="EJ635" s="1404"/>
      <c r="EK635" s="1404"/>
      <c r="EL635" s="1404"/>
      <c r="EM635" s="1404">
        <f t="shared" si="26"/>
        <v>74.482758620689651</v>
      </c>
      <c r="EN635" s="1404"/>
      <c r="EO635" s="1404"/>
      <c r="EP635" s="1404"/>
      <c r="EQ635" s="1404"/>
      <c r="ER635" s="1404" t="e">
        <f t="shared" si="27"/>
        <v>#VALUE!</v>
      </c>
      <c r="ES635" s="1404"/>
      <c r="ET635" s="1404"/>
      <c r="EU635" s="1404"/>
      <c r="EV635" s="1404"/>
      <c r="EW635" s="1404" t="e">
        <f t="shared" si="28"/>
        <v>#VALUE!</v>
      </c>
      <c r="EX635" s="1404"/>
      <c r="EY635" s="1404"/>
      <c r="EZ635" s="1404"/>
      <c r="FA635" s="1404"/>
    </row>
    <row r="636" spans="1:157" ht="12.95" customHeight="1">
      <c r="B636" s="1574" t="s">
        <v>268</v>
      </c>
      <c r="C636" s="1575"/>
      <c r="D636" s="1575"/>
      <c r="E636" s="1575"/>
      <c r="F636" s="1575"/>
      <c r="G636" s="1575"/>
      <c r="H636" s="1575"/>
      <c r="I636" s="1575"/>
      <c r="J636" s="1575"/>
      <c r="K636" s="1575"/>
      <c r="L636" s="1575"/>
      <c r="M636" s="1575"/>
      <c r="N636" s="1575"/>
      <c r="O636" s="1575"/>
      <c r="P636" s="1575"/>
      <c r="Q636" s="1575"/>
      <c r="R636" s="1575"/>
      <c r="S636" s="1575"/>
      <c r="T636" s="1575"/>
      <c r="U636" s="1575"/>
      <c r="V636" s="1575"/>
      <c r="W636" s="1575"/>
      <c r="X636" s="1575"/>
      <c r="Y636" s="1575"/>
      <c r="Z636" s="1575"/>
      <c r="AA636" s="1575"/>
      <c r="AB636" s="1575"/>
      <c r="AC636" s="1575"/>
      <c r="AD636" s="1575"/>
      <c r="AE636" s="1575"/>
      <c r="AF636" s="1575"/>
      <c r="AG636" s="1575"/>
      <c r="AH636" s="1575"/>
      <c r="AI636" s="1575"/>
      <c r="AJ636" s="1575"/>
      <c r="AK636" s="1575"/>
      <c r="AL636" s="1575"/>
      <c r="AM636" s="1575"/>
      <c r="AN636" s="1576"/>
      <c r="AO636" s="1427">
        <v>30007205</v>
      </c>
      <c r="AP636" s="1428"/>
      <c r="AQ636" s="1428"/>
      <c r="AR636" s="1428"/>
      <c r="AS636" s="1429"/>
      <c r="AZ636" s="34"/>
      <c r="BA636" s="34"/>
      <c r="BB636" s="34"/>
      <c r="BC636" s="34"/>
      <c r="BD636" s="34"/>
      <c r="BE636" s="34"/>
      <c r="BF636" s="34"/>
      <c r="BG636" s="34"/>
      <c r="BH636" s="34"/>
      <c r="BI636" s="34"/>
      <c r="BJ636" s="34"/>
      <c r="BK636" s="34"/>
      <c r="BL636" s="34"/>
      <c r="BM636" s="34"/>
      <c r="BN636" s="1415">
        <f t="shared" si="30"/>
        <v>0</v>
      </c>
      <c r="BO636" s="1416"/>
      <c r="BP636" s="1416"/>
      <c r="BQ636" s="1416"/>
      <c r="BR636" s="1417"/>
      <c r="BS636" s="1424">
        <f t="shared" si="31"/>
        <v>0</v>
      </c>
      <c r="BT636" s="1424"/>
      <c r="BU636" s="1424"/>
      <c r="BV636" s="1424"/>
      <c r="BW636" s="1424"/>
      <c r="BX636" s="1424">
        <f t="shared" si="32"/>
        <v>0</v>
      </c>
      <c r="BY636" s="1424"/>
      <c r="BZ636" s="1424"/>
      <c r="CA636" s="1424"/>
      <c r="CB636" s="1424"/>
      <c r="CC636" s="1424">
        <f t="shared" si="33"/>
        <v>0</v>
      </c>
      <c r="CD636" s="1424"/>
      <c r="CE636" s="1424"/>
      <c r="CF636" s="1424"/>
      <c r="CG636" s="1424"/>
      <c r="CH636" s="1424">
        <f t="shared" si="34"/>
        <v>0</v>
      </c>
      <c r="CI636" s="1424"/>
      <c r="CJ636" s="1424"/>
      <c r="CK636" s="1424"/>
      <c r="CL636" s="1424"/>
      <c r="CM636" s="1424">
        <f t="shared" si="35"/>
        <v>0</v>
      </c>
      <c r="CN636" s="1424"/>
      <c r="CO636" s="1424"/>
      <c r="CP636" s="1424"/>
      <c r="CQ636" s="1424"/>
      <c r="CR636" s="6"/>
      <c r="CS636" s="1415">
        <f t="shared" si="36"/>
        <v>0</v>
      </c>
      <c r="CT636" s="1416"/>
      <c r="CU636" s="1416"/>
      <c r="CV636" s="1416"/>
      <c r="CW636" s="1417"/>
      <c r="CX636" s="1415">
        <f t="shared" si="37"/>
        <v>0</v>
      </c>
      <c r="CY636" s="1416"/>
      <c r="CZ636" s="1416"/>
      <c r="DA636" s="1416"/>
      <c r="DB636" s="1417"/>
      <c r="DC636" s="1415">
        <f t="shared" si="38"/>
        <v>0</v>
      </c>
      <c r="DD636" s="1416"/>
      <c r="DE636" s="1416"/>
      <c r="DF636" s="1416"/>
      <c r="DG636" s="1417"/>
      <c r="DH636" s="1415">
        <f t="shared" si="39"/>
        <v>0</v>
      </c>
      <c r="DI636" s="1416"/>
      <c r="DJ636" s="1416"/>
      <c r="DK636" s="1416"/>
      <c r="DL636" s="1417"/>
      <c r="DM636" s="1415">
        <f t="shared" si="40"/>
        <v>0</v>
      </c>
      <c r="DN636" s="1416"/>
      <c r="DO636" s="1416"/>
      <c r="DP636" s="1416"/>
      <c r="DQ636" s="1417"/>
      <c r="DR636" s="1415">
        <f t="shared" si="41"/>
        <v>0</v>
      </c>
      <c r="DS636" s="1416"/>
      <c r="DT636" s="1416"/>
      <c r="DU636" s="1416"/>
      <c r="DV636" s="1417"/>
      <c r="DX636" s="1404" t="e">
        <f t="shared" si="23"/>
        <v>#VALUE!</v>
      </c>
      <c r="DY636" s="1404"/>
      <c r="DZ636" s="1404"/>
      <c r="EA636" s="1404"/>
      <c r="EB636" s="1404"/>
      <c r="EC636" s="1404" t="e">
        <f t="shared" si="24"/>
        <v>#VALUE!</v>
      </c>
      <c r="ED636" s="1404"/>
      <c r="EE636" s="1404"/>
      <c r="EF636" s="1404"/>
      <c r="EG636" s="1404"/>
      <c r="EH636" s="1404" t="e">
        <f t="shared" si="25"/>
        <v>#VALUE!</v>
      </c>
      <c r="EI636" s="1404"/>
      <c r="EJ636" s="1404"/>
      <c r="EK636" s="1404"/>
      <c r="EL636" s="1404"/>
      <c r="EM636" s="1404">
        <f t="shared" si="26"/>
        <v>430.00000000000006</v>
      </c>
      <c r="EN636" s="1404"/>
      <c r="EO636" s="1404"/>
      <c r="EP636" s="1404"/>
      <c r="EQ636" s="1404"/>
      <c r="ER636" s="1404" t="e">
        <f t="shared" si="27"/>
        <v>#VALUE!</v>
      </c>
      <c r="ES636" s="1404"/>
      <c r="ET636" s="1404"/>
      <c r="EU636" s="1404"/>
      <c r="EV636" s="1404"/>
      <c r="EW636" s="1404" t="e">
        <f t="shared" si="28"/>
        <v>#VALUE!</v>
      </c>
      <c r="EX636" s="1404"/>
      <c r="EY636" s="1404"/>
      <c r="EZ636" s="1404"/>
      <c r="FA636" s="1404"/>
    </row>
    <row r="637" spans="1:157" ht="12.95" customHeight="1">
      <c r="B637" s="1734" t="s">
        <v>269</v>
      </c>
      <c r="C637" s="1735"/>
      <c r="D637" s="1735"/>
      <c r="E637" s="1735"/>
      <c r="F637" s="1735"/>
      <c r="G637" s="1735"/>
      <c r="H637" s="1735"/>
      <c r="I637" s="1735"/>
      <c r="J637" s="1735"/>
      <c r="K637" s="1735"/>
      <c r="L637" s="1735"/>
      <c r="M637" s="1735"/>
      <c r="N637" s="1735"/>
      <c r="O637" s="1735"/>
      <c r="P637" s="1735"/>
      <c r="Q637" s="1735"/>
      <c r="R637" s="1735"/>
      <c r="S637" s="1735"/>
      <c r="T637" s="1735"/>
      <c r="U637" s="1735"/>
      <c r="V637" s="1735"/>
      <c r="W637" s="1735"/>
      <c r="X637" s="1735"/>
      <c r="Y637" s="1735"/>
      <c r="Z637" s="1735"/>
      <c r="AA637" s="1735"/>
      <c r="AB637" s="1735"/>
      <c r="AC637" s="1735"/>
      <c r="AD637" s="1735"/>
      <c r="AE637" s="1735"/>
      <c r="AF637" s="1735"/>
      <c r="AG637" s="1735"/>
      <c r="AH637" s="1735"/>
      <c r="AI637" s="1735"/>
      <c r="AJ637" s="1735"/>
      <c r="AK637" s="1735"/>
      <c r="AL637" s="1735"/>
      <c r="AM637" s="1735"/>
      <c r="AN637" s="1736"/>
      <c r="AO637" s="1638">
        <f>AO635+AO636</f>
        <v>47550835</v>
      </c>
      <c r="AP637" s="1639"/>
      <c r="AQ637" s="1639"/>
      <c r="AR637" s="1639"/>
      <c r="AS637" s="1640"/>
      <c r="AZ637" s="34"/>
      <c r="BA637" s="34"/>
      <c r="BB637" s="34"/>
      <c r="BC637" s="34"/>
      <c r="BD637" s="34"/>
      <c r="BE637" s="34"/>
      <c r="BF637" s="34"/>
      <c r="BG637" s="34"/>
      <c r="BH637" s="34"/>
      <c r="BI637" s="34"/>
      <c r="BJ637" s="34"/>
      <c r="BK637" s="34"/>
      <c r="BL637" s="34"/>
      <c r="BM637" s="34"/>
      <c r="BN637" s="1415">
        <f t="shared" si="30"/>
        <v>0</v>
      </c>
      <c r="BO637" s="1416"/>
      <c r="BP637" s="1416"/>
      <c r="BQ637" s="1416"/>
      <c r="BR637" s="1417"/>
      <c r="BS637" s="1424">
        <f t="shared" si="31"/>
        <v>0</v>
      </c>
      <c r="BT637" s="1424"/>
      <c r="BU637" s="1424"/>
      <c r="BV637" s="1424"/>
      <c r="BW637" s="1424"/>
      <c r="BX637" s="1424">
        <f t="shared" si="32"/>
        <v>0</v>
      </c>
      <c r="BY637" s="1424"/>
      <c r="BZ637" s="1424"/>
      <c r="CA637" s="1424"/>
      <c r="CB637" s="1424"/>
      <c r="CC637" s="1424">
        <f t="shared" si="33"/>
        <v>0</v>
      </c>
      <c r="CD637" s="1424"/>
      <c r="CE637" s="1424"/>
      <c r="CF637" s="1424"/>
      <c r="CG637" s="1424"/>
      <c r="CH637" s="1424">
        <f t="shared" si="34"/>
        <v>0</v>
      </c>
      <c r="CI637" s="1424"/>
      <c r="CJ637" s="1424"/>
      <c r="CK637" s="1424"/>
      <c r="CL637" s="1424"/>
      <c r="CM637" s="1424">
        <f t="shared" si="35"/>
        <v>0</v>
      </c>
      <c r="CN637" s="1424"/>
      <c r="CO637" s="1424"/>
      <c r="CP637" s="1424"/>
      <c r="CQ637" s="1424"/>
      <c r="CR637" s="6"/>
      <c r="CS637" s="1415">
        <f t="shared" si="36"/>
        <v>0</v>
      </c>
      <c r="CT637" s="1416"/>
      <c r="CU637" s="1416"/>
      <c r="CV637" s="1416"/>
      <c r="CW637" s="1417"/>
      <c r="CX637" s="1415">
        <f t="shared" si="37"/>
        <v>0</v>
      </c>
      <c r="CY637" s="1416"/>
      <c r="CZ637" s="1416"/>
      <c r="DA637" s="1416"/>
      <c r="DB637" s="1417"/>
      <c r="DC637" s="1415">
        <f t="shared" si="38"/>
        <v>0</v>
      </c>
      <c r="DD637" s="1416"/>
      <c r="DE637" s="1416"/>
      <c r="DF637" s="1416"/>
      <c r="DG637" s="1417"/>
      <c r="DH637" s="1415">
        <f t="shared" si="39"/>
        <v>0</v>
      </c>
      <c r="DI637" s="1416"/>
      <c r="DJ637" s="1416"/>
      <c r="DK637" s="1416"/>
      <c r="DL637" s="1417"/>
      <c r="DM637" s="1415">
        <f t="shared" si="40"/>
        <v>0</v>
      </c>
      <c r="DN637" s="1416"/>
      <c r="DO637" s="1416"/>
      <c r="DP637" s="1416"/>
      <c r="DQ637" s="1417"/>
      <c r="DR637" s="1415">
        <f t="shared" si="41"/>
        <v>0</v>
      </c>
      <c r="DS637" s="1416"/>
      <c r="DT637" s="1416"/>
      <c r="DU637" s="1416"/>
      <c r="DV637" s="1417"/>
      <c r="DX637" s="1404" t="e">
        <f t="shared" si="23"/>
        <v>#VALUE!</v>
      </c>
      <c r="DY637" s="1404"/>
      <c r="DZ637" s="1404"/>
      <c r="EA637" s="1404"/>
      <c r="EB637" s="1404"/>
      <c r="EC637" s="1404" t="e">
        <f t="shared" si="24"/>
        <v>#VALUE!</v>
      </c>
      <c r="ED637" s="1404"/>
      <c r="EE637" s="1404"/>
      <c r="EF637" s="1404"/>
      <c r="EG637" s="1404"/>
      <c r="EH637" s="1404" t="e">
        <f t="shared" si="25"/>
        <v>#VALUE!</v>
      </c>
      <c r="EI637" s="1404"/>
      <c r="EJ637" s="1404"/>
      <c r="EK637" s="1404"/>
      <c r="EL637" s="1404"/>
      <c r="EM637" s="1404">
        <f t="shared" si="26"/>
        <v>917.58620689655174</v>
      </c>
      <c r="EN637" s="1404"/>
      <c r="EO637" s="1404"/>
      <c r="EP637" s="1404"/>
      <c r="EQ637" s="1404"/>
      <c r="ER637" s="1404" t="e">
        <f t="shared" si="27"/>
        <v>#VALUE!</v>
      </c>
      <c r="ES637" s="1404"/>
      <c r="ET637" s="1404"/>
      <c r="EU637" s="1404"/>
      <c r="EV637" s="1404"/>
      <c r="EW637" s="1404" t="e">
        <f t="shared" si="28"/>
        <v>#VALUE!</v>
      </c>
      <c r="EX637" s="1404"/>
      <c r="EY637" s="1404"/>
      <c r="EZ637" s="1404"/>
      <c r="FA637" s="1404"/>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5">
        <f t="shared" si="30"/>
        <v>0</v>
      </c>
      <c r="BO638" s="1416"/>
      <c r="BP638" s="1416"/>
      <c r="BQ638" s="1416"/>
      <c r="BR638" s="1417"/>
      <c r="BS638" s="1424">
        <f t="shared" si="31"/>
        <v>0</v>
      </c>
      <c r="BT638" s="1424"/>
      <c r="BU638" s="1424"/>
      <c r="BV638" s="1424"/>
      <c r="BW638" s="1424"/>
      <c r="BX638" s="1424">
        <f t="shared" si="32"/>
        <v>0</v>
      </c>
      <c r="BY638" s="1424"/>
      <c r="BZ638" s="1424"/>
      <c r="CA638" s="1424"/>
      <c r="CB638" s="1424"/>
      <c r="CC638" s="1424">
        <f t="shared" si="33"/>
        <v>0</v>
      </c>
      <c r="CD638" s="1424"/>
      <c r="CE638" s="1424"/>
      <c r="CF638" s="1424"/>
      <c r="CG638" s="1424"/>
      <c r="CH638" s="1424">
        <f t="shared" si="34"/>
        <v>0</v>
      </c>
      <c r="CI638" s="1424"/>
      <c r="CJ638" s="1424"/>
      <c r="CK638" s="1424"/>
      <c r="CL638" s="1424"/>
      <c r="CM638" s="1424">
        <f t="shared" si="35"/>
        <v>0</v>
      </c>
      <c r="CN638" s="1424"/>
      <c r="CO638" s="1424"/>
      <c r="CP638" s="1424"/>
      <c r="CQ638" s="1424"/>
      <c r="CR638" s="6"/>
      <c r="CS638" s="1415">
        <f t="shared" si="36"/>
        <v>0</v>
      </c>
      <c r="CT638" s="1416"/>
      <c r="CU638" s="1416"/>
      <c r="CV638" s="1416"/>
      <c r="CW638" s="1417"/>
      <c r="CX638" s="1415">
        <f t="shared" si="37"/>
        <v>0</v>
      </c>
      <c r="CY638" s="1416"/>
      <c r="CZ638" s="1416"/>
      <c r="DA638" s="1416"/>
      <c r="DB638" s="1417"/>
      <c r="DC638" s="1415">
        <f t="shared" si="38"/>
        <v>0</v>
      </c>
      <c r="DD638" s="1416"/>
      <c r="DE638" s="1416"/>
      <c r="DF638" s="1416"/>
      <c r="DG638" s="1417"/>
      <c r="DH638" s="1415">
        <f t="shared" si="39"/>
        <v>0</v>
      </c>
      <c r="DI638" s="1416"/>
      <c r="DJ638" s="1416"/>
      <c r="DK638" s="1416"/>
      <c r="DL638" s="1417"/>
      <c r="DM638" s="1415">
        <f t="shared" si="40"/>
        <v>0</v>
      </c>
      <c r="DN638" s="1416"/>
      <c r="DO638" s="1416"/>
      <c r="DP638" s="1416"/>
      <c r="DQ638" s="1417"/>
      <c r="DR638" s="1415">
        <f t="shared" si="41"/>
        <v>0</v>
      </c>
      <c r="DS638" s="1416"/>
      <c r="DT638" s="1416"/>
      <c r="DU638" s="1416"/>
      <c r="DV638" s="1417"/>
      <c r="DX638" s="1404" t="e">
        <f t="shared" si="23"/>
        <v>#VALUE!</v>
      </c>
      <c r="DY638" s="1404"/>
      <c r="DZ638" s="1404"/>
      <c r="EA638" s="1404"/>
      <c r="EB638" s="1404"/>
      <c r="EC638" s="1404" t="e">
        <f t="shared" si="24"/>
        <v>#VALUE!</v>
      </c>
      <c r="ED638" s="1404"/>
      <c r="EE638" s="1404"/>
      <c r="EF638" s="1404"/>
      <c r="EG638" s="1404"/>
      <c r="EH638" s="1404" t="e">
        <f t="shared" si="25"/>
        <v>#VALUE!</v>
      </c>
      <c r="EI638" s="1404"/>
      <c r="EJ638" s="1404"/>
      <c r="EK638" s="1404"/>
      <c r="EL638" s="1404"/>
      <c r="EM638" s="1404">
        <f t="shared" si="26"/>
        <v>68.655172413793096</v>
      </c>
      <c r="EN638" s="1404"/>
      <c r="EO638" s="1404"/>
      <c r="EP638" s="1404"/>
      <c r="EQ638" s="1404"/>
      <c r="ER638" s="1404" t="e">
        <f t="shared" si="27"/>
        <v>#VALUE!</v>
      </c>
      <c r="ES638" s="1404"/>
      <c r="ET638" s="1404"/>
      <c r="EU638" s="1404"/>
      <c r="EV638" s="1404"/>
      <c r="EW638" s="1404" t="e">
        <f t="shared" si="28"/>
        <v>#VALUE!</v>
      </c>
      <c r="EX638" s="1404"/>
      <c r="EY638" s="1404"/>
      <c r="EZ638" s="1404"/>
      <c r="FA638" s="1404"/>
    </row>
    <row r="639" spans="1:157" ht="12.95" customHeight="1">
      <c r="A639" s="55" t="s">
        <v>113</v>
      </c>
      <c r="B639" t="s">
        <v>472</v>
      </c>
      <c r="G639" s="1351" t="str">
        <f>C623</f>
        <v>Citibank, N.A.</v>
      </c>
      <c r="H639" s="1351"/>
      <c r="I639" s="1351"/>
      <c r="J639" s="1351"/>
      <c r="K639" s="1351"/>
      <c r="L639" s="1351"/>
      <c r="M639" s="1351"/>
      <c r="N639" s="1351"/>
      <c r="O639" s="1351"/>
      <c r="P639" s="1351"/>
      <c r="Q639" s="1351"/>
      <c r="R639" s="1351"/>
      <c r="S639" s="8"/>
      <c r="T639" s="55" t="s">
        <v>114</v>
      </c>
      <c r="U639" t="s">
        <v>472</v>
      </c>
      <c r="Z639" s="1351" t="str">
        <f>C624</f>
        <v>NOI during Construction</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5">
        <f t="shared" si="30"/>
        <v>0</v>
      </c>
      <c r="BO639" s="1416"/>
      <c r="BP639" s="1416"/>
      <c r="BQ639" s="1416"/>
      <c r="BR639" s="1417"/>
      <c r="BS639" s="1424">
        <f t="shared" si="31"/>
        <v>0</v>
      </c>
      <c r="BT639" s="1424"/>
      <c r="BU639" s="1424"/>
      <c r="BV639" s="1424"/>
      <c r="BW639" s="1424"/>
      <c r="BX639" s="1424">
        <f t="shared" si="32"/>
        <v>0</v>
      </c>
      <c r="BY639" s="1424"/>
      <c r="BZ639" s="1424"/>
      <c r="CA639" s="1424"/>
      <c r="CB639" s="1424"/>
      <c r="CC639" s="1424">
        <f t="shared" si="33"/>
        <v>0</v>
      </c>
      <c r="CD639" s="1424"/>
      <c r="CE639" s="1424"/>
      <c r="CF639" s="1424"/>
      <c r="CG639" s="1424"/>
      <c r="CH639" s="1424">
        <f t="shared" si="34"/>
        <v>0</v>
      </c>
      <c r="CI639" s="1424"/>
      <c r="CJ639" s="1424"/>
      <c r="CK639" s="1424"/>
      <c r="CL639" s="1424"/>
      <c r="CM639" s="1424">
        <f t="shared" si="35"/>
        <v>0</v>
      </c>
      <c r="CN639" s="1424"/>
      <c r="CO639" s="1424"/>
      <c r="CP639" s="1424"/>
      <c r="CQ639" s="1424"/>
      <c r="CR639" s="6"/>
      <c r="CS639" s="1415">
        <f t="shared" si="36"/>
        <v>0</v>
      </c>
      <c r="CT639" s="1416"/>
      <c r="CU639" s="1416"/>
      <c r="CV639" s="1416"/>
      <c r="CW639" s="1417"/>
      <c r="CX639" s="1415">
        <f t="shared" si="37"/>
        <v>0</v>
      </c>
      <c r="CY639" s="1416"/>
      <c r="CZ639" s="1416"/>
      <c r="DA639" s="1416"/>
      <c r="DB639" s="1417"/>
      <c r="DC639" s="1415">
        <f t="shared" si="38"/>
        <v>0</v>
      </c>
      <c r="DD639" s="1416"/>
      <c r="DE639" s="1416"/>
      <c r="DF639" s="1416"/>
      <c r="DG639" s="1417"/>
      <c r="DH639" s="1415">
        <f t="shared" si="39"/>
        <v>0</v>
      </c>
      <c r="DI639" s="1416"/>
      <c r="DJ639" s="1416"/>
      <c r="DK639" s="1416"/>
      <c r="DL639" s="1417"/>
      <c r="DM639" s="1415">
        <f t="shared" si="40"/>
        <v>0</v>
      </c>
      <c r="DN639" s="1416"/>
      <c r="DO639" s="1416"/>
      <c r="DP639" s="1416"/>
      <c r="DQ639" s="1417"/>
      <c r="DR639" s="1415">
        <f t="shared" si="41"/>
        <v>0</v>
      </c>
      <c r="DS639" s="1416"/>
      <c r="DT639" s="1416"/>
      <c r="DU639" s="1416"/>
      <c r="DV639" s="1417"/>
      <c r="DX639" s="1404" t="e">
        <f t="shared" si="23"/>
        <v>#VALUE!</v>
      </c>
      <c r="DY639" s="1404"/>
      <c r="DZ639" s="1404"/>
      <c r="EA639" s="1404"/>
      <c r="EB639" s="1404"/>
      <c r="EC639" s="1404" t="e">
        <f t="shared" si="24"/>
        <v>#VALUE!</v>
      </c>
      <c r="ED639" s="1404"/>
      <c r="EE639" s="1404"/>
      <c r="EF639" s="1404"/>
      <c r="EG639" s="1404"/>
      <c r="EH639" s="1404" t="e">
        <f t="shared" si="25"/>
        <v>#VALUE!</v>
      </c>
      <c r="EI639" s="1404"/>
      <c r="EJ639" s="1404"/>
      <c r="EK639" s="1404"/>
      <c r="EL639" s="1404"/>
      <c r="EM639" s="1404" t="e">
        <f t="shared" si="26"/>
        <v>#VALUE!</v>
      </c>
      <c r="EN639" s="1404"/>
      <c r="EO639" s="1404"/>
      <c r="EP639" s="1404"/>
      <c r="EQ639" s="1404"/>
      <c r="ER639" s="1404" t="e">
        <f t="shared" si="27"/>
        <v>#VALUE!</v>
      </c>
      <c r="ES639" s="1404"/>
      <c r="ET639" s="1404"/>
      <c r="EU639" s="1404"/>
      <c r="EV639" s="1404"/>
      <c r="EW639" s="1404" t="e">
        <f t="shared" si="28"/>
        <v>#VALUE!</v>
      </c>
      <c r="EX639" s="1404"/>
      <c r="EY639" s="1404"/>
      <c r="EZ639" s="1404"/>
      <c r="FA639" s="1404"/>
    </row>
    <row r="640" spans="1:157" ht="12.95" customHeight="1">
      <c r="A640" s="22"/>
      <c r="B640" t="s">
        <v>86</v>
      </c>
      <c r="G640" s="1352" t="s">
        <v>2705</v>
      </c>
      <c r="H640" s="1352"/>
      <c r="I640" s="1352"/>
      <c r="J640" s="1352"/>
      <c r="K640" s="1352"/>
      <c r="L640" s="1352"/>
      <c r="M640" s="1352"/>
      <c r="N640" s="1352"/>
      <c r="O640" s="1352"/>
      <c r="P640" s="1352"/>
      <c r="Q640" s="1352"/>
      <c r="R640" s="1352"/>
      <c r="S640" s="8"/>
      <c r="T640" s="22"/>
      <c r="U640" t="s">
        <v>86</v>
      </c>
      <c r="Z640" s="1594" t="s">
        <v>2631</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5">
        <f t="shared" si="30"/>
        <v>0</v>
      </c>
      <c r="BO640" s="1416"/>
      <c r="BP640" s="1416"/>
      <c r="BQ640" s="1416"/>
      <c r="BR640" s="1417"/>
      <c r="BS640" s="1424">
        <f t="shared" si="31"/>
        <v>0</v>
      </c>
      <c r="BT640" s="1424"/>
      <c r="BU640" s="1424"/>
      <c r="BV640" s="1424"/>
      <c r="BW640" s="1424"/>
      <c r="BX640" s="1424">
        <f t="shared" si="32"/>
        <v>0</v>
      </c>
      <c r="BY640" s="1424"/>
      <c r="BZ640" s="1424"/>
      <c r="CA640" s="1424"/>
      <c r="CB640" s="1424"/>
      <c r="CC640" s="1424">
        <f t="shared" si="33"/>
        <v>0</v>
      </c>
      <c r="CD640" s="1424"/>
      <c r="CE640" s="1424"/>
      <c r="CF640" s="1424"/>
      <c r="CG640" s="1424"/>
      <c r="CH640" s="1424">
        <f t="shared" si="34"/>
        <v>0</v>
      </c>
      <c r="CI640" s="1424"/>
      <c r="CJ640" s="1424"/>
      <c r="CK640" s="1424"/>
      <c r="CL640" s="1424"/>
      <c r="CM640" s="1424">
        <f t="shared" si="35"/>
        <v>0</v>
      </c>
      <c r="CN640" s="1424"/>
      <c r="CO640" s="1424"/>
      <c r="CP640" s="1424"/>
      <c r="CQ640" s="1424"/>
      <c r="CR640" s="6"/>
      <c r="CS640" s="1415">
        <f t="shared" si="36"/>
        <v>0</v>
      </c>
      <c r="CT640" s="1416"/>
      <c r="CU640" s="1416"/>
      <c r="CV640" s="1416"/>
      <c r="CW640" s="1417"/>
      <c r="CX640" s="1415">
        <f t="shared" si="37"/>
        <v>0</v>
      </c>
      <c r="CY640" s="1416"/>
      <c r="CZ640" s="1416"/>
      <c r="DA640" s="1416"/>
      <c r="DB640" s="1417"/>
      <c r="DC640" s="1415">
        <f t="shared" si="38"/>
        <v>0</v>
      </c>
      <c r="DD640" s="1416"/>
      <c r="DE640" s="1416"/>
      <c r="DF640" s="1416"/>
      <c r="DG640" s="1417"/>
      <c r="DH640" s="1415">
        <f t="shared" si="39"/>
        <v>0</v>
      </c>
      <c r="DI640" s="1416"/>
      <c r="DJ640" s="1416"/>
      <c r="DK640" s="1416"/>
      <c r="DL640" s="1417"/>
      <c r="DM640" s="1415">
        <f t="shared" si="40"/>
        <v>0</v>
      </c>
      <c r="DN640" s="1416"/>
      <c r="DO640" s="1416"/>
      <c r="DP640" s="1416"/>
      <c r="DQ640" s="1417"/>
      <c r="DR640" s="1415">
        <f t="shared" si="41"/>
        <v>0</v>
      </c>
      <c r="DS640" s="1416"/>
      <c r="DT640" s="1416"/>
      <c r="DU640" s="1416"/>
      <c r="DV640" s="1417"/>
      <c r="DX640" s="1404" t="e">
        <f t="shared" si="23"/>
        <v>#VALUE!</v>
      </c>
      <c r="DY640" s="1404"/>
      <c r="DZ640" s="1404"/>
      <c r="EA640" s="1404"/>
      <c r="EB640" s="1404"/>
      <c r="EC640" s="1404" t="e">
        <f t="shared" si="24"/>
        <v>#VALUE!</v>
      </c>
      <c r="ED640" s="1404"/>
      <c r="EE640" s="1404"/>
      <c r="EF640" s="1404"/>
      <c r="EG640" s="1404"/>
      <c r="EH640" s="1404" t="e">
        <f t="shared" si="25"/>
        <v>#VALUE!</v>
      </c>
      <c r="EI640" s="1404"/>
      <c r="EJ640" s="1404"/>
      <c r="EK640" s="1404"/>
      <c r="EL640" s="1404"/>
      <c r="EM640" s="1404" t="e">
        <f t="shared" si="26"/>
        <v>#VALUE!</v>
      </c>
      <c r="EN640" s="1404"/>
      <c r="EO640" s="1404"/>
      <c r="EP640" s="1404"/>
      <c r="EQ640" s="1404"/>
      <c r="ER640" s="1404" t="e">
        <f t="shared" si="27"/>
        <v>#VALUE!</v>
      </c>
      <c r="ES640" s="1404"/>
      <c r="ET640" s="1404"/>
      <c r="EU640" s="1404"/>
      <c r="EV640" s="1404"/>
      <c r="EW640" s="1404" t="e">
        <f t="shared" si="28"/>
        <v>#VALUE!</v>
      </c>
      <c r="EX640" s="1404"/>
      <c r="EY640" s="1404"/>
      <c r="EZ640" s="1404"/>
      <c r="FA640" s="1404"/>
    </row>
    <row r="641" spans="1:157" ht="12.95" customHeight="1">
      <c r="A641" s="22"/>
      <c r="B641" t="s">
        <v>589</v>
      </c>
      <c r="G641" s="1594" t="s">
        <v>2716</v>
      </c>
      <c r="H641" s="1352"/>
      <c r="I641" s="1352"/>
      <c r="J641" s="1352"/>
      <c r="K641" s="1352"/>
      <c r="L641" s="1352"/>
      <c r="M641" s="1352"/>
      <c r="N641" s="1352"/>
      <c r="O641" s="1352"/>
      <c r="P641" s="1352"/>
      <c r="Q641" s="1352"/>
      <c r="R641" s="1352"/>
      <c r="T641" s="22"/>
      <c r="U641" t="s">
        <v>589</v>
      </c>
      <c r="Z641" s="1623" t="s">
        <v>2632</v>
      </c>
      <c r="AA641" s="1369"/>
      <c r="AB641" s="1369"/>
      <c r="AC641" s="1369"/>
      <c r="AD641" s="1369"/>
      <c r="AE641" s="1369"/>
      <c r="AF641" s="1369"/>
      <c r="AG641" s="1369"/>
      <c r="AH641" s="1369"/>
      <c r="AI641" s="1369"/>
      <c r="AJ641" s="1369"/>
      <c r="AK641" s="1369"/>
      <c r="AZ641" s="34"/>
      <c r="BA641" s="34"/>
      <c r="BB641" s="34"/>
      <c r="BC641" s="34"/>
      <c r="BD641" s="34"/>
      <c r="BE641" s="34"/>
      <c r="BF641" s="34"/>
      <c r="BG641" s="34"/>
      <c r="BH641" s="34"/>
      <c r="BI641" s="34"/>
      <c r="BJ641" s="34"/>
      <c r="BK641" s="34"/>
      <c r="BL641" s="34"/>
      <c r="BM641" s="34"/>
      <c r="BN641" s="1415">
        <f t="shared" si="30"/>
        <v>0</v>
      </c>
      <c r="BO641" s="1416"/>
      <c r="BP641" s="1416"/>
      <c r="BQ641" s="1416"/>
      <c r="BR641" s="1417"/>
      <c r="BS641" s="1424">
        <f t="shared" si="31"/>
        <v>0</v>
      </c>
      <c r="BT641" s="1424"/>
      <c r="BU641" s="1424"/>
      <c r="BV641" s="1424"/>
      <c r="BW641" s="1424"/>
      <c r="BX641" s="1424">
        <f t="shared" si="32"/>
        <v>0</v>
      </c>
      <c r="BY641" s="1424"/>
      <c r="BZ641" s="1424"/>
      <c r="CA641" s="1424"/>
      <c r="CB641" s="1424"/>
      <c r="CC641" s="1424">
        <f t="shared" si="33"/>
        <v>0</v>
      </c>
      <c r="CD641" s="1424"/>
      <c r="CE641" s="1424"/>
      <c r="CF641" s="1424"/>
      <c r="CG641" s="1424"/>
      <c r="CH641" s="1424">
        <f t="shared" si="34"/>
        <v>0</v>
      </c>
      <c r="CI641" s="1424"/>
      <c r="CJ641" s="1424"/>
      <c r="CK641" s="1424"/>
      <c r="CL641" s="1424"/>
      <c r="CM641" s="1424">
        <f t="shared" si="35"/>
        <v>0</v>
      </c>
      <c r="CN641" s="1424"/>
      <c r="CO641" s="1424"/>
      <c r="CP641" s="1424"/>
      <c r="CQ641" s="1424"/>
      <c r="CR641" s="6"/>
      <c r="CS641" s="1415">
        <f t="shared" si="36"/>
        <v>0</v>
      </c>
      <c r="CT641" s="1416"/>
      <c r="CU641" s="1416"/>
      <c r="CV641" s="1416"/>
      <c r="CW641" s="1417"/>
      <c r="CX641" s="1415">
        <f t="shared" si="37"/>
        <v>0</v>
      </c>
      <c r="CY641" s="1416"/>
      <c r="CZ641" s="1416"/>
      <c r="DA641" s="1416"/>
      <c r="DB641" s="1417"/>
      <c r="DC641" s="1415">
        <f t="shared" si="38"/>
        <v>0</v>
      </c>
      <c r="DD641" s="1416"/>
      <c r="DE641" s="1416"/>
      <c r="DF641" s="1416"/>
      <c r="DG641" s="1417"/>
      <c r="DH641" s="1415">
        <f t="shared" si="39"/>
        <v>0</v>
      </c>
      <c r="DI641" s="1416"/>
      <c r="DJ641" s="1416"/>
      <c r="DK641" s="1416"/>
      <c r="DL641" s="1417"/>
      <c r="DM641" s="1415">
        <f t="shared" si="40"/>
        <v>0</v>
      </c>
      <c r="DN641" s="1416"/>
      <c r="DO641" s="1416"/>
      <c r="DP641" s="1416"/>
      <c r="DQ641" s="1417"/>
      <c r="DR641" s="1415">
        <f t="shared" si="41"/>
        <v>0</v>
      </c>
      <c r="DS641" s="1416"/>
      <c r="DT641" s="1416"/>
      <c r="DU641" s="1416"/>
      <c r="DV641" s="1417"/>
      <c r="DX641" s="1404" t="e">
        <f t="shared" si="23"/>
        <v>#VALUE!</v>
      </c>
      <c r="DY641" s="1404"/>
      <c r="DZ641" s="1404"/>
      <c r="EA641" s="1404"/>
      <c r="EB641" s="1404"/>
      <c r="EC641" s="1404" t="e">
        <f t="shared" si="24"/>
        <v>#VALUE!</v>
      </c>
      <c r="ED641" s="1404"/>
      <c r="EE641" s="1404"/>
      <c r="EF641" s="1404"/>
      <c r="EG641" s="1404"/>
      <c r="EH641" s="1404" t="e">
        <f t="shared" si="25"/>
        <v>#VALUE!</v>
      </c>
      <c r="EI641" s="1404"/>
      <c r="EJ641" s="1404"/>
      <c r="EK641" s="1404"/>
      <c r="EL641" s="1404"/>
      <c r="EM641" s="1404" t="e">
        <f t="shared" si="26"/>
        <v>#VALUE!</v>
      </c>
      <c r="EN641" s="1404"/>
      <c r="EO641" s="1404"/>
      <c r="EP641" s="1404"/>
      <c r="EQ641" s="1404"/>
      <c r="ER641" s="1404" t="e">
        <f t="shared" si="27"/>
        <v>#VALUE!</v>
      </c>
      <c r="ES641" s="1404"/>
      <c r="ET641" s="1404"/>
      <c r="EU641" s="1404"/>
      <c r="EV641" s="1404"/>
      <c r="EW641" s="1404" t="e">
        <f t="shared" si="28"/>
        <v>#VALUE!</v>
      </c>
      <c r="EX641" s="1404"/>
      <c r="EY641" s="1404"/>
      <c r="EZ641" s="1404"/>
      <c r="FA641" s="1404"/>
    </row>
    <row r="642" spans="1:157" ht="12.95" customHeight="1">
      <c r="A642" s="22"/>
      <c r="B642" t="s">
        <v>17</v>
      </c>
      <c r="G642" s="1352" t="s">
        <v>2706</v>
      </c>
      <c r="H642" s="1352"/>
      <c r="I642" s="1352"/>
      <c r="J642" s="1352"/>
      <c r="K642" s="1352"/>
      <c r="L642" s="1352"/>
      <c r="M642" s="1352"/>
      <c r="N642" s="1352"/>
      <c r="O642" s="1352"/>
      <c r="P642" s="1352"/>
      <c r="Q642" s="1352"/>
      <c r="R642" s="1352"/>
      <c r="S642" s="8"/>
      <c r="T642" s="22"/>
      <c r="U642" t="s">
        <v>17</v>
      </c>
      <c r="Z642" s="1623" t="s">
        <v>2654</v>
      </c>
      <c r="AA642" s="1369"/>
      <c r="AB642" s="1369"/>
      <c r="AC642" s="1369"/>
      <c r="AD642" s="1369"/>
      <c r="AE642" s="1369"/>
      <c r="AF642" s="1369"/>
      <c r="AG642" s="1369"/>
      <c r="AH642" s="1369"/>
      <c r="AI642" s="1369"/>
      <c r="AJ642" s="1369"/>
      <c r="AK642" s="1369"/>
      <c r="AZ642" s="34"/>
      <c r="BA642" s="34"/>
      <c r="BB642" s="34"/>
      <c r="BC642" s="34"/>
      <c r="BD642" s="34"/>
      <c r="BE642" s="34"/>
      <c r="BF642" s="34"/>
      <c r="BG642" s="34"/>
      <c r="BH642" s="34"/>
      <c r="BI642" s="34"/>
      <c r="BJ642" s="34"/>
      <c r="BK642" s="34"/>
      <c r="BL642" s="34"/>
      <c r="BM642" s="34"/>
      <c r="BN642" s="1415">
        <f t="shared" si="30"/>
        <v>0</v>
      </c>
      <c r="BO642" s="1416"/>
      <c r="BP642" s="1416"/>
      <c r="BQ642" s="1416"/>
      <c r="BR642" s="1417"/>
      <c r="BS642" s="1424">
        <f t="shared" si="31"/>
        <v>0</v>
      </c>
      <c r="BT642" s="1424"/>
      <c r="BU642" s="1424"/>
      <c r="BV642" s="1424"/>
      <c r="BW642" s="1424"/>
      <c r="BX642" s="1424">
        <f t="shared" si="32"/>
        <v>0</v>
      </c>
      <c r="BY642" s="1424"/>
      <c r="BZ642" s="1424"/>
      <c r="CA642" s="1424"/>
      <c r="CB642" s="1424"/>
      <c r="CC642" s="1424">
        <f t="shared" si="33"/>
        <v>0</v>
      </c>
      <c r="CD642" s="1424"/>
      <c r="CE642" s="1424"/>
      <c r="CF642" s="1424"/>
      <c r="CG642" s="1424"/>
      <c r="CH642" s="1424">
        <f t="shared" si="34"/>
        <v>0</v>
      </c>
      <c r="CI642" s="1424"/>
      <c r="CJ642" s="1424"/>
      <c r="CK642" s="1424"/>
      <c r="CL642" s="1424"/>
      <c r="CM642" s="1424">
        <f t="shared" si="35"/>
        <v>0</v>
      </c>
      <c r="CN642" s="1424"/>
      <c r="CO642" s="1424"/>
      <c r="CP642" s="1424"/>
      <c r="CQ642" s="1424"/>
      <c r="CR642" s="6"/>
      <c r="CS642" s="1415">
        <f t="shared" si="36"/>
        <v>0</v>
      </c>
      <c r="CT642" s="1416"/>
      <c r="CU642" s="1416"/>
      <c r="CV642" s="1416"/>
      <c r="CW642" s="1417"/>
      <c r="CX642" s="1415">
        <f t="shared" si="37"/>
        <v>0</v>
      </c>
      <c r="CY642" s="1416"/>
      <c r="CZ642" s="1416"/>
      <c r="DA642" s="1416"/>
      <c r="DB642" s="1417"/>
      <c r="DC642" s="1415">
        <f t="shared" si="38"/>
        <v>0</v>
      </c>
      <c r="DD642" s="1416"/>
      <c r="DE642" s="1416"/>
      <c r="DF642" s="1416"/>
      <c r="DG642" s="1417"/>
      <c r="DH642" s="1415">
        <f t="shared" si="39"/>
        <v>0</v>
      </c>
      <c r="DI642" s="1416"/>
      <c r="DJ642" s="1416"/>
      <c r="DK642" s="1416"/>
      <c r="DL642" s="1417"/>
      <c r="DM642" s="1415">
        <f t="shared" si="40"/>
        <v>0</v>
      </c>
      <c r="DN642" s="1416"/>
      <c r="DO642" s="1416"/>
      <c r="DP642" s="1416"/>
      <c r="DQ642" s="1417"/>
      <c r="DR642" s="1415">
        <f t="shared" si="41"/>
        <v>0</v>
      </c>
      <c r="DS642" s="1416"/>
      <c r="DT642" s="1416"/>
      <c r="DU642" s="1416"/>
      <c r="DV642" s="1417"/>
      <c r="DX642" s="1404" t="e">
        <f t="shared" si="23"/>
        <v>#VALUE!</v>
      </c>
      <c r="DY642" s="1404"/>
      <c r="DZ642" s="1404"/>
      <c r="EA642" s="1404"/>
      <c r="EB642" s="1404"/>
      <c r="EC642" s="1404" t="e">
        <f t="shared" si="24"/>
        <v>#VALUE!</v>
      </c>
      <c r="ED642" s="1404"/>
      <c r="EE642" s="1404"/>
      <c r="EF642" s="1404"/>
      <c r="EG642" s="1404"/>
      <c r="EH642" s="1404" t="e">
        <f t="shared" si="25"/>
        <v>#VALUE!</v>
      </c>
      <c r="EI642" s="1404"/>
      <c r="EJ642" s="1404"/>
      <c r="EK642" s="1404"/>
      <c r="EL642" s="1404"/>
      <c r="EM642" s="1404" t="e">
        <f t="shared" si="26"/>
        <v>#VALUE!</v>
      </c>
      <c r="EN642" s="1404"/>
      <c r="EO642" s="1404"/>
      <c r="EP642" s="1404"/>
      <c r="EQ642" s="1404"/>
      <c r="ER642" s="1404" t="e">
        <f t="shared" si="27"/>
        <v>#VALUE!</v>
      </c>
      <c r="ES642" s="1404"/>
      <c r="ET642" s="1404"/>
      <c r="EU642" s="1404"/>
      <c r="EV642" s="1404"/>
      <c r="EW642" s="1404" t="e">
        <f t="shared" si="28"/>
        <v>#VALUE!</v>
      </c>
      <c r="EX642" s="1404"/>
      <c r="EY642" s="1404"/>
      <c r="EZ642" s="1404"/>
      <c r="FA642" s="1404"/>
    </row>
    <row r="643" spans="1:157" ht="12.95" customHeight="1">
      <c r="A643" s="22"/>
      <c r="B643" t="s">
        <v>317</v>
      </c>
      <c r="G643" s="1372">
        <v>8055570933</v>
      </c>
      <c r="H643" s="1372"/>
      <c r="I643" s="1372"/>
      <c r="J643" s="1372"/>
      <c r="K643" s="1372"/>
      <c r="L643" s="1372"/>
      <c r="O643" s="33" t="s">
        <v>207</v>
      </c>
      <c r="P643" s="1350"/>
      <c r="Q643" s="1350"/>
      <c r="R643" s="1350"/>
      <c r="S643" s="10"/>
      <c r="T643" s="22"/>
      <c r="U643" t="s">
        <v>317</v>
      </c>
      <c r="Z643" s="1372">
        <v>9167736060</v>
      </c>
      <c r="AA643" s="1372"/>
      <c r="AB643" s="1372"/>
      <c r="AC643" s="1372"/>
      <c r="AD643" s="1372"/>
      <c r="AE643" s="1372"/>
      <c r="AH643" s="33" t="s">
        <v>207</v>
      </c>
      <c r="AI643" s="1350"/>
      <c r="AJ643" s="1350"/>
      <c r="AK643" s="1350"/>
      <c r="AZ643" s="34"/>
      <c r="BA643" s="34"/>
      <c r="BB643" s="34"/>
      <c r="BC643" s="34"/>
      <c r="BD643" s="34"/>
      <c r="BE643" s="34"/>
      <c r="BF643" s="34"/>
      <c r="BG643" s="34"/>
      <c r="BH643" s="34"/>
      <c r="BI643" s="34"/>
      <c r="BJ643" s="34"/>
      <c r="BK643" s="34"/>
      <c r="BL643" s="34"/>
      <c r="BM643" s="34"/>
      <c r="BN643" s="1415">
        <f t="shared" si="30"/>
        <v>0</v>
      </c>
      <c r="BO643" s="1416"/>
      <c r="BP643" s="1416"/>
      <c r="BQ643" s="1416"/>
      <c r="BR643" s="1417"/>
      <c r="BS643" s="1424">
        <f t="shared" si="31"/>
        <v>0</v>
      </c>
      <c r="BT643" s="1424"/>
      <c r="BU643" s="1424"/>
      <c r="BV643" s="1424"/>
      <c r="BW643" s="1424"/>
      <c r="BX643" s="1424">
        <f t="shared" si="32"/>
        <v>0</v>
      </c>
      <c r="BY643" s="1424"/>
      <c r="BZ643" s="1424"/>
      <c r="CA643" s="1424"/>
      <c r="CB643" s="1424"/>
      <c r="CC643" s="1424">
        <f t="shared" si="33"/>
        <v>0</v>
      </c>
      <c r="CD643" s="1424"/>
      <c r="CE643" s="1424"/>
      <c r="CF643" s="1424"/>
      <c r="CG643" s="1424"/>
      <c r="CH643" s="1424">
        <f t="shared" si="34"/>
        <v>0</v>
      </c>
      <c r="CI643" s="1424"/>
      <c r="CJ643" s="1424"/>
      <c r="CK643" s="1424"/>
      <c r="CL643" s="1424"/>
      <c r="CM643" s="1424">
        <f t="shared" si="35"/>
        <v>0</v>
      </c>
      <c r="CN643" s="1424"/>
      <c r="CO643" s="1424"/>
      <c r="CP643" s="1424"/>
      <c r="CQ643" s="1424"/>
      <c r="CR643" s="6"/>
      <c r="CS643" s="1415">
        <f t="shared" si="36"/>
        <v>0</v>
      </c>
      <c r="CT643" s="1416"/>
      <c r="CU643" s="1416"/>
      <c r="CV643" s="1416"/>
      <c r="CW643" s="1417"/>
      <c r="CX643" s="1415">
        <f t="shared" si="37"/>
        <v>0</v>
      </c>
      <c r="CY643" s="1416"/>
      <c r="CZ643" s="1416"/>
      <c r="DA643" s="1416"/>
      <c r="DB643" s="1417"/>
      <c r="DC643" s="1415">
        <f t="shared" si="38"/>
        <v>0</v>
      </c>
      <c r="DD643" s="1416"/>
      <c r="DE643" s="1416"/>
      <c r="DF643" s="1416"/>
      <c r="DG643" s="1417"/>
      <c r="DH643" s="1415">
        <f t="shared" si="39"/>
        <v>0</v>
      </c>
      <c r="DI643" s="1416"/>
      <c r="DJ643" s="1416"/>
      <c r="DK643" s="1416"/>
      <c r="DL643" s="1417"/>
      <c r="DM643" s="1415">
        <f t="shared" si="40"/>
        <v>0</v>
      </c>
      <c r="DN643" s="1416"/>
      <c r="DO643" s="1416"/>
      <c r="DP643" s="1416"/>
      <c r="DQ643" s="1417"/>
      <c r="DR643" s="1415">
        <f t="shared" si="41"/>
        <v>0</v>
      </c>
      <c r="DS643" s="1416"/>
      <c r="DT643" s="1416"/>
      <c r="DU643" s="1416"/>
      <c r="DV643" s="1417"/>
      <c r="DX643" s="1404" t="e">
        <f t="shared" si="23"/>
        <v>#VALUE!</v>
      </c>
      <c r="DY643" s="1404"/>
      <c r="DZ643" s="1404"/>
      <c r="EA643" s="1404"/>
      <c r="EB643" s="1404"/>
      <c r="EC643" s="1404" t="e">
        <f t="shared" si="24"/>
        <v>#VALUE!</v>
      </c>
      <c r="ED643" s="1404"/>
      <c r="EE643" s="1404"/>
      <c r="EF643" s="1404"/>
      <c r="EG643" s="1404"/>
      <c r="EH643" s="1404" t="e">
        <f t="shared" si="25"/>
        <v>#VALUE!</v>
      </c>
      <c r="EI643" s="1404"/>
      <c r="EJ643" s="1404"/>
      <c r="EK643" s="1404"/>
      <c r="EL643" s="1404"/>
      <c r="EM643" s="1404" t="e">
        <f t="shared" si="26"/>
        <v>#VALUE!</v>
      </c>
      <c r="EN643" s="1404"/>
      <c r="EO643" s="1404"/>
      <c r="EP643" s="1404"/>
      <c r="EQ643" s="1404"/>
      <c r="ER643" s="1404" t="e">
        <f t="shared" si="27"/>
        <v>#VALUE!</v>
      </c>
      <c r="ES643" s="1404"/>
      <c r="ET643" s="1404"/>
      <c r="EU643" s="1404"/>
      <c r="EV643" s="1404"/>
      <c r="EW643" s="1404" t="e">
        <f t="shared" si="28"/>
        <v>#VALUE!</v>
      </c>
      <c r="EX643" s="1404"/>
      <c r="EY643" s="1404"/>
      <c r="EZ643" s="1404"/>
      <c r="FA643" s="1404"/>
    </row>
    <row r="644" spans="1:157" ht="12.95" customHeight="1">
      <c r="A644" s="22"/>
      <c r="B644" t="s">
        <v>18</v>
      </c>
      <c r="H644" s="1352" t="s">
        <v>2708</v>
      </c>
      <c r="I644" s="1352"/>
      <c r="J644" s="1352"/>
      <c r="K644" s="1352"/>
      <c r="L644" s="1352"/>
      <c r="M644" s="1352"/>
      <c r="N644" s="1352"/>
      <c r="O644" s="1352"/>
      <c r="P644" s="1352"/>
      <c r="Q644" s="1352"/>
      <c r="R644" s="1352"/>
      <c r="S644" s="8"/>
      <c r="T644" s="22"/>
      <c r="U644" t="s">
        <v>18</v>
      </c>
      <c r="AA644" s="1594" t="s">
        <v>2720</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7">
        <f>SUM(BN634:BR643)</f>
        <v>0</v>
      </c>
      <c r="BO644" s="1661"/>
      <c r="BP644" s="1661"/>
      <c r="BQ644" s="1661"/>
      <c r="BR644" s="1438"/>
      <c r="BS644" s="1418">
        <f>SUM(BS634:BW643)</f>
        <v>0</v>
      </c>
      <c r="BT644" s="1419"/>
      <c r="BU644" s="1419"/>
      <c r="BV644" s="1419"/>
      <c r="BW644" s="1420"/>
      <c r="BX644" s="1418">
        <f>SUM(BX634:CB643)</f>
        <v>0</v>
      </c>
      <c r="BY644" s="1419"/>
      <c r="BZ644" s="1419"/>
      <c r="CA644" s="1419"/>
      <c r="CB644" s="1420"/>
      <c r="CC644" s="1418">
        <f>SUM(CC634:CG643)</f>
        <v>0</v>
      </c>
      <c r="CD644" s="1419"/>
      <c r="CE644" s="1419"/>
      <c r="CF644" s="1419"/>
      <c r="CG644" s="1420"/>
      <c r="CH644" s="1418">
        <f>SUM(CH634:CL643)</f>
        <v>0</v>
      </c>
      <c r="CI644" s="1419"/>
      <c r="CJ644" s="1419"/>
      <c r="CK644" s="1419"/>
      <c r="CL644" s="1420"/>
      <c r="CM644" s="1418">
        <f>SUM(CM634:CQ643)</f>
        <v>0</v>
      </c>
      <c r="CN644" s="1419"/>
      <c r="CO644" s="1419"/>
      <c r="CP644" s="1419"/>
      <c r="CQ644" s="1420"/>
      <c r="CR644" s="1049"/>
      <c r="CS644" s="1414">
        <f>SUM(CS634:CW643)</f>
        <v>0</v>
      </c>
      <c r="CT644" s="1414"/>
      <c r="CU644" s="1414"/>
      <c r="CV644" s="1414"/>
      <c r="CW644" s="1414"/>
      <c r="CX644" s="1414">
        <f>SUM(CX634:DB643)</f>
        <v>0</v>
      </c>
      <c r="CY644" s="1414"/>
      <c r="CZ644" s="1414"/>
      <c r="DA644" s="1414"/>
      <c r="DB644" s="1414"/>
      <c r="DC644" s="1414">
        <f>SUM(DC634:DG643)</f>
        <v>0</v>
      </c>
      <c r="DD644" s="1414"/>
      <c r="DE644" s="1414"/>
      <c r="DF644" s="1414"/>
      <c r="DG644" s="1414"/>
      <c r="DH644" s="1414">
        <f>SUM(DH634:DL643)</f>
        <v>0</v>
      </c>
      <c r="DI644" s="1414"/>
      <c r="DJ644" s="1414"/>
      <c r="DK644" s="1414"/>
      <c r="DL644" s="1414"/>
      <c r="DM644" s="1414">
        <f>SUM(DM634:DQ643)</f>
        <v>0</v>
      </c>
      <c r="DN644" s="1414"/>
      <c r="DO644" s="1414"/>
      <c r="DP644" s="1414"/>
      <c r="DQ644" s="1414"/>
      <c r="DR644" s="1414">
        <f>SUM(DR634:DV643)</f>
        <v>0</v>
      </c>
      <c r="DS644" s="1414"/>
      <c r="DT644" s="1414"/>
      <c r="DU644" s="1414"/>
      <c r="DV644" s="1414"/>
      <c r="DX644" s="1404" t="e">
        <f t="shared" si="23"/>
        <v>#VALUE!</v>
      </c>
      <c r="DY644" s="1404"/>
      <c r="DZ644" s="1404"/>
      <c r="EA644" s="1404"/>
      <c r="EB644" s="1404"/>
      <c r="EC644" s="1404" t="e">
        <f t="shared" si="24"/>
        <v>#VALUE!</v>
      </c>
      <c r="ED644" s="1404"/>
      <c r="EE644" s="1404"/>
      <c r="EF644" s="1404"/>
      <c r="EG644" s="1404"/>
      <c r="EH644" s="1404" t="e">
        <f t="shared" si="25"/>
        <v>#VALUE!</v>
      </c>
      <c r="EI644" s="1404"/>
      <c r="EJ644" s="1404"/>
      <c r="EK644" s="1404"/>
      <c r="EL644" s="1404"/>
      <c r="EM644" s="1404" t="e">
        <f t="shared" si="26"/>
        <v>#VALUE!</v>
      </c>
      <c r="EN644" s="1404"/>
      <c r="EO644" s="1404"/>
      <c r="EP644" s="1404"/>
      <c r="EQ644" s="1404"/>
      <c r="ER644" s="1404" t="e">
        <f t="shared" si="27"/>
        <v>#VALUE!</v>
      </c>
      <c r="ES644" s="1404"/>
      <c r="ET644" s="1404"/>
      <c r="EU644" s="1404"/>
      <c r="EV644" s="1404"/>
      <c r="EW644" s="1404" t="e">
        <f t="shared" si="28"/>
        <v>#VALUE!</v>
      </c>
      <c r="EX644" s="1404"/>
      <c r="EY644" s="1404"/>
      <c r="EZ644" s="1404"/>
      <c r="FA644" s="1404"/>
    </row>
    <row r="645" spans="1:157" ht="12.95" customHeight="1">
      <c r="A645" s="22"/>
      <c r="B645" t="s">
        <v>20</v>
      </c>
      <c r="N645" s="1370" t="s">
        <v>554</v>
      </c>
      <c r="O645" s="1370"/>
      <c r="T645" s="22"/>
      <c r="U645" t="s">
        <v>20</v>
      </c>
      <c r="AG645" s="1370" t="s">
        <v>554</v>
      </c>
      <c r="AH645" s="1370"/>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4" t="e">
        <f t="shared" si="23"/>
        <v>#VALUE!</v>
      </c>
      <c r="DY645" s="1404"/>
      <c r="DZ645" s="1404"/>
      <c r="EA645" s="1404"/>
      <c r="EB645" s="1404"/>
      <c r="EC645" s="1404" t="e">
        <f t="shared" si="24"/>
        <v>#VALUE!</v>
      </c>
      <c r="ED645" s="1404"/>
      <c r="EE645" s="1404"/>
      <c r="EF645" s="1404"/>
      <c r="EG645" s="1404"/>
      <c r="EH645" s="1404" t="e">
        <f t="shared" si="25"/>
        <v>#VALUE!</v>
      </c>
      <c r="EI645" s="1404"/>
      <c r="EJ645" s="1404"/>
      <c r="EK645" s="1404"/>
      <c r="EL645" s="1404"/>
      <c r="EM645" s="1404" t="e">
        <f t="shared" si="26"/>
        <v>#VALUE!</v>
      </c>
      <c r="EN645" s="1404"/>
      <c r="EO645" s="1404"/>
      <c r="EP645" s="1404"/>
      <c r="EQ645" s="1404"/>
      <c r="ER645" s="1404" t="e">
        <f t="shared" si="27"/>
        <v>#VALUE!</v>
      </c>
      <c r="ES645" s="1404"/>
      <c r="ET645" s="1404"/>
      <c r="EU645" s="1404"/>
      <c r="EV645" s="1404"/>
      <c r="EW645" s="1404" t="e">
        <f t="shared" si="28"/>
        <v>#VALUE!</v>
      </c>
      <c r="EX645" s="1404"/>
      <c r="EY645" s="1404"/>
      <c r="EZ645" s="1404"/>
      <c r="FA645" s="1404"/>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04">
        <f>SUM(CS644:DV644)</f>
        <v>0</v>
      </c>
      <c r="DS646" s="1404"/>
      <c r="DT646" s="1404"/>
      <c r="DU646" s="1404"/>
      <c r="DV646" s="1404"/>
      <c r="DX646" s="1404" t="e">
        <f t="shared" si="23"/>
        <v>#VALUE!</v>
      </c>
      <c r="DY646" s="1404"/>
      <c r="DZ646" s="1404"/>
      <c r="EA646" s="1404"/>
      <c r="EB646" s="1404"/>
      <c r="EC646" s="1404" t="e">
        <f t="shared" si="24"/>
        <v>#VALUE!</v>
      </c>
      <c r="ED646" s="1404"/>
      <c r="EE646" s="1404"/>
      <c r="EF646" s="1404"/>
      <c r="EG646" s="1404"/>
      <c r="EH646" s="1404" t="e">
        <f t="shared" si="25"/>
        <v>#VALUE!</v>
      </c>
      <c r="EI646" s="1404"/>
      <c r="EJ646" s="1404"/>
      <c r="EK646" s="1404"/>
      <c r="EL646" s="1404"/>
      <c r="EM646" s="1404" t="e">
        <f t="shared" si="26"/>
        <v>#VALUE!</v>
      </c>
      <c r="EN646" s="1404"/>
      <c r="EO646" s="1404"/>
      <c r="EP646" s="1404"/>
      <c r="EQ646" s="1404"/>
      <c r="ER646" s="1404" t="e">
        <f t="shared" si="27"/>
        <v>#VALUE!</v>
      </c>
      <c r="ES646" s="1404"/>
      <c r="ET646" s="1404"/>
      <c r="EU646" s="1404"/>
      <c r="EV646" s="1404"/>
      <c r="EW646" s="1404" t="e">
        <f t="shared" si="28"/>
        <v>#VALUE!</v>
      </c>
      <c r="EX646" s="1404"/>
      <c r="EY646" s="1404"/>
      <c r="EZ646" s="1404"/>
      <c r="FA646" s="1404"/>
    </row>
    <row r="647" spans="1:157" ht="12.95" customHeight="1">
      <c r="A647" s="55" t="s">
        <v>120</v>
      </c>
      <c r="B647" t="s">
        <v>472</v>
      </c>
      <c r="G647" s="1351" t="str">
        <f>C625</f>
        <v>USA Multi-Family Development, Inc.</v>
      </c>
      <c r="H647" s="1351"/>
      <c r="I647" s="1351"/>
      <c r="J647" s="1351"/>
      <c r="K647" s="1351"/>
      <c r="L647" s="1351"/>
      <c r="M647" s="1351"/>
      <c r="N647" s="1351"/>
      <c r="O647" s="1351"/>
      <c r="P647" s="1351"/>
      <c r="Q647" s="1351"/>
      <c r="R647" s="1351"/>
      <c r="T647" s="55" t="s">
        <v>590</v>
      </c>
      <c r="U647" t="s">
        <v>472</v>
      </c>
      <c r="Z647" s="1351">
        <f>C626</f>
        <v>0</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4" t="e">
        <f t="shared" si="23"/>
        <v>#VALUE!</v>
      </c>
      <c r="DY647" s="1404"/>
      <c r="DZ647" s="1404"/>
      <c r="EA647" s="1404"/>
      <c r="EB647" s="1404"/>
      <c r="EC647" s="1404" t="e">
        <f t="shared" si="24"/>
        <v>#VALUE!</v>
      </c>
      <c r="ED647" s="1404"/>
      <c r="EE647" s="1404"/>
      <c r="EF647" s="1404"/>
      <c r="EG647" s="1404"/>
      <c r="EH647" s="1404" t="e">
        <f t="shared" si="25"/>
        <v>#VALUE!</v>
      </c>
      <c r="EI647" s="1404"/>
      <c r="EJ647" s="1404"/>
      <c r="EK647" s="1404"/>
      <c r="EL647" s="1404"/>
      <c r="EM647" s="1404" t="e">
        <f t="shared" si="26"/>
        <v>#VALUE!</v>
      </c>
      <c r="EN647" s="1404"/>
      <c r="EO647" s="1404"/>
      <c r="EP647" s="1404"/>
      <c r="EQ647" s="1404"/>
      <c r="ER647" s="1404" t="e">
        <f t="shared" si="27"/>
        <v>#VALUE!</v>
      </c>
      <c r="ES647" s="1404"/>
      <c r="ET647" s="1404"/>
      <c r="EU647" s="1404"/>
      <c r="EV647" s="1404"/>
      <c r="EW647" s="1404" t="e">
        <f t="shared" si="28"/>
        <v>#VALUE!</v>
      </c>
      <c r="EX647" s="1404"/>
      <c r="EY647" s="1404"/>
      <c r="EZ647" s="1404"/>
      <c r="FA647" s="1404"/>
    </row>
    <row r="648" spans="1:157" ht="12.95" customHeight="1">
      <c r="A648" s="22"/>
      <c r="B648" t="s">
        <v>86</v>
      </c>
      <c r="G648" s="1352" t="s">
        <v>2631</v>
      </c>
      <c r="H648" s="1352"/>
      <c r="I648" s="1352"/>
      <c r="J648" s="1352"/>
      <c r="K648" s="1352"/>
      <c r="L648" s="1352"/>
      <c r="M648" s="1352"/>
      <c r="N648" s="1352"/>
      <c r="O648" s="1352"/>
      <c r="P648" s="1352"/>
      <c r="Q648" s="1352"/>
      <c r="R648" s="1352"/>
      <c r="T648" s="22"/>
      <c r="U648" t="s">
        <v>86</v>
      </c>
      <c r="Z648" s="1352"/>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4" t="e">
        <f t="shared" si="23"/>
        <v>#VALUE!</v>
      </c>
      <c r="DY648" s="1404"/>
      <c r="DZ648" s="1404"/>
      <c r="EA648" s="1404"/>
      <c r="EB648" s="1404"/>
      <c r="EC648" s="1404" t="e">
        <f t="shared" si="24"/>
        <v>#VALUE!</v>
      </c>
      <c r="ED648" s="1404"/>
      <c r="EE648" s="1404"/>
      <c r="EF648" s="1404"/>
      <c r="EG648" s="1404"/>
      <c r="EH648" s="1404" t="e">
        <f t="shared" si="25"/>
        <v>#VALUE!</v>
      </c>
      <c r="EI648" s="1404"/>
      <c r="EJ648" s="1404"/>
      <c r="EK648" s="1404"/>
      <c r="EL648" s="1404"/>
      <c r="EM648" s="1404" t="e">
        <f t="shared" si="26"/>
        <v>#VALUE!</v>
      </c>
      <c r="EN648" s="1404"/>
      <c r="EO648" s="1404"/>
      <c r="EP648" s="1404"/>
      <c r="EQ648" s="1404"/>
      <c r="ER648" s="1404" t="e">
        <f t="shared" si="27"/>
        <v>#VALUE!</v>
      </c>
      <c r="ES648" s="1404"/>
      <c r="ET648" s="1404"/>
      <c r="EU648" s="1404"/>
      <c r="EV648" s="1404"/>
      <c r="EW648" s="1404" t="e">
        <f t="shared" si="28"/>
        <v>#VALUE!</v>
      </c>
      <c r="EX648" s="1404"/>
      <c r="EY648" s="1404"/>
      <c r="EZ648" s="1404"/>
      <c r="FA648" s="1404"/>
    </row>
    <row r="649" spans="1:157" ht="12.95" customHeight="1">
      <c r="A649" s="22"/>
      <c r="B649" t="s">
        <v>589</v>
      </c>
      <c r="G649" s="1369" t="s">
        <v>2632</v>
      </c>
      <c r="H649" s="1369"/>
      <c r="I649" s="1369"/>
      <c r="J649" s="1369"/>
      <c r="K649" s="1369"/>
      <c r="L649" s="1369"/>
      <c r="M649" s="1369"/>
      <c r="N649" s="1369"/>
      <c r="O649" s="1369"/>
      <c r="P649" s="1369"/>
      <c r="Q649" s="1369"/>
      <c r="R649" s="1369"/>
      <c r="T649" s="22"/>
      <c r="U649" t="s">
        <v>589</v>
      </c>
      <c r="Z649" s="1369"/>
      <c r="AA649" s="1369"/>
      <c r="AB649" s="1369"/>
      <c r="AC649" s="1369"/>
      <c r="AD649" s="1369"/>
      <c r="AE649" s="1369"/>
      <c r="AF649" s="1369"/>
      <c r="AG649" s="1369"/>
      <c r="AH649" s="1369"/>
      <c r="AI649" s="1369"/>
      <c r="AJ649" s="1369"/>
      <c r="AK649" s="1369"/>
      <c r="AZ649" s="34"/>
      <c r="BA649" s="34"/>
      <c r="BB649" s="34"/>
      <c r="BC649" s="34"/>
      <c r="BD649" s="34"/>
      <c r="BE649" s="34"/>
      <c r="BF649" s="34"/>
      <c r="BG649" s="34"/>
      <c r="BH649" s="34"/>
      <c r="BI649" s="34"/>
      <c r="BJ649" s="34"/>
      <c r="BK649" s="34"/>
      <c r="BL649" s="34"/>
      <c r="BM649" s="34"/>
      <c r="BN649" s="1418">
        <f>BN621+BN630+BN644</f>
        <v>0</v>
      </c>
      <c r="BO649" s="1419"/>
      <c r="BP649" s="1419"/>
      <c r="BQ649" s="1419"/>
      <c r="BR649" s="1420"/>
      <c r="BS649" s="1418">
        <f>BS621+BS630+BS644</f>
        <v>40</v>
      </c>
      <c r="BT649" s="1419"/>
      <c r="BU649" s="1419"/>
      <c r="BV649" s="1419"/>
      <c r="BW649" s="1420"/>
      <c r="BX649" s="1418">
        <f>BX621+BX630+BX644</f>
        <v>47</v>
      </c>
      <c r="BY649" s="1419"/>
      <c r="BZ649" s="1419"/>
      <c r="CA649" s="1419"/>
      <c r="CB649" s="1420"/>
      <c r="CC649" s="1418">
        <f>CC621+CC630+CC644</f>
        <v>29</v>
      </c>
      <c r="CD649" s="1419"/>
      <c r="CE649" s="1419"/>
      <c r="CF649" s="1419"/>
      <c r="CG649" s="1420"/>
      <c r="CH649" s="1418">
        <f>CH621+CH630+CH644</f>
        <v>0</v>
      </c>
      <c r="CI649" s="1419"/>
      <c r="CJ649" s="1419"/>
      <c r="CK649" s="1419"/>
      <c r="CL649" s="1420"/>
      <c r="CM649" s="1421">
        <f>CM644+CM630+CM621</f>
        <v>0</v>
      </c>
      <c r="CN649" s="1422"/>
      <c r="CO649" s="1422"/>
      <c r="CP649" s="1422"/>
      <c r="CQ649" s="1423"/>
      <c r="CR649" s="3"/>
      <c r="CS649" s="897">
        <f>CS623+CS647</f>
        <v>219</v>
      </c>
      <c r="CT649" s="57" t="s">
        <v>2126</v>
      </c>
      <c r="CU649" s="3"/>
      <c r="CV649" s="3"/>
      <c r="CW649" s="3"/>
      <c r="CX649" s="3"/>
      <c r="CY649" s="3"/>
      <c r="CZ649" s="3"/>
      <c r="DA649" s="3"/>
      <c r="DB649" s="3"/>
      <c r="DC649" s="3"/>
      <c r="DD649" s="3"/>
      <c r="DE649" s="3"/>
      <c r="DF649" s="3"/>
      <c r="DX649" s="1404">
        <f>SUMIF(DX624:EB648,"&gt;0")</f>
        <v>0</v>
      </c>
      <c r="DY649" s="1404"/>
      <c r="DZ649" s="1404"/>
      <c r="EA649" s="1404"/>
      <c r="EB649" s="1404"/>
      <c r="EC649" s="1404">
        <f>SUMIF(EC624:EG648,"&gt;0")</f>
        <v>1076.7749999999999</v>
      </c>
      <c r="ED649" s="1404"/>
      <c r="EE649" s="1404"/>
      <c r="EF649" s="1404"/>
      <c r="EG649" s="1404"/>
      <c r="EH649" s="1404">
        <f>SUMIF(EH624:EL648,"&gt;0")</f>
        <v>1268.7608695652173</v>
      </c>
      <c r="EI649" s="1404"/>
      <c r="EJ649" s="1404"/>
      <c r="EK649" s="1404"/>
      <c r="EL649" s="1404"/>
      <c r="EM649" s="1404">
        <f>SUMIF(EM624:EQ648,"&gt;0")</f>
        <v>1490.7241379310344</v>
      </c>
      <c r="EN649" s="1404"/>
      <c r="EO649" s="1404"/>
      <c r="EP649" s="1404"/>
      <c r="EQ649" s="1404"/>
      <c r="ER649" s="1404">
        <f>SUMIF(ER624:EV648,"&gt;0")</f>
        <v>0</v>
      </c>
      <c r="ES649" s="1404"/>
      <c r="ET649" s="1404"/>
      <c r="EU649" s="1404"/>
      <c r="EV649" s="1404"/>
      <c r="EW649" s="1404">
        <f>SUMIF(EW624:FA648,"&gt;0")</f>
        <v>0</v>
      </c>
      <c r="EX649" s="1404"/>
      <c r="EY649" s="1404"/>
      <c r="EZ649" s="1404"/>
      <c r="FA649" s="1404"/>
    </row>
    <row r="650" spans="1:157" ht="12.95" customHeight="1">
      <c r="A650" s="22"/>
      <c r="B650" t="s">
        <v>17</v>
      </c>
      <c r="G650" s="1369" t="s">
        <v>2654</v>
      </c>
      <c r="H650" s="1369"/>
      <c r="I650" s="1369"/>
      <c r="J650" s="1369"/>
      <c r="K650" s="1369"/>
      <c r="L650" s="1369"/>
      <c r="M650" s="1369"/>
      <c r="N650" s="1369"/>
      <c r="O650" s="1369"/>
      <c r="P650" s="1369"/>
      <c r="Q650" s="1369"/>
      <c r="R650" s="1369"/>
      <c r="T650" s="22"/>
      <c r="U650" t="s">
        <v>17</v>
      </c>
      <c r="Z650" s="1369"/>
      <c r="AA650" s="1369"/>
      <c r="AB650" s="1369"/>
      <c r="AC650" s="1369"/>
      <c r="AD650" s="1369"/>
      <c r="AE650" s="1369"/>
      <c r="AF650" s="1369"/>
      <c r="AG650" s="1369"/>
      <c r="AH650" s="1369"/>
      <c r="AI650" s="1369"/>
      <c r="AJ650" s="1369"/>
      <c r="AK650" s="136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372">
        <v>9167736060</v>
      </c>
      <c r="H651" s="1372"/>
      <c r="I651" s="1372"/>
      <c r="J651" s="1372"/>
      <c r="K651" s="1372"/>
      <c r="L651" s="1372"/>
      <c r="O651" s="33" t="s">
        <v>207</v>
      </c>
      <c r="P651" s="1350"/>
      <c r="Q651" s="1350"/>
      <c r="R651" s="1350"/>
      <c r="T651" s="22"/>
      <c r="U651" t="s">
        <v>317</v>
      </c>
      <c r="Z651" s="1372"/>
      <c r="AA651" s="1372"/>
      <c r="AB651" s="1372"/>
      <c r="AC651" s="1372"/>
      <c r="AD651" s="1372"/>
      <c r="AE651" s="1372"/>
      <c r="AH651" s="33" t="s">
        <v>207</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594" t="s">
        <v>1921</v>
      </c>
      <c r="I652" s="1352"/>
      <c r="J652" s="1352"/>
      <c r="K652" s="1352"/>
      <c r="L652" s="1352"/>
      <c r="M652" s="1352"/>
      <c r="N652" s="1352"/>
      <c r="O652" s="1352"/>
      <c r="P652" s="1352"/>
      <c r="Q652" s="1352"/>
      <c r="R652" s="1352"/>
      <c r="T652" s="22"/>
      <c r="U652" t="s">
        <v>18</v>
      </c>
      <c r="AA652" s="1352"/>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0" t="s">
        <v>554</v>
      </c>
      <c r="O653" s="1370"/>
      <c r="T653" s="22"/>
      <c r="U653" t="s">
        <v>20</v>
      </c>
      <c r="AG653" s="1370" t="s">
        <v>678</v>
      </c>
      <c r="AH653" s="1370"/>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1">
        <f>C627</f>
        <v>0</v>
      </c>
      <c r="H655" s="1351"/>
      <c r="I655" s="1351"/>
      <c r="J655" s="1351"/>
      <c r="K655" s="1351"/>
      <c r="L655" s="1351"/>
      <c r="M655" s="1351"/>
      <c r="N655" s="1351"/>
      <c r="O655" s="1351"/>
      <c r="P655" s="1351"/>
      <c r="Q655" s="1351"/>
      <c r="R655" s="1351"/>
      <c r="T655" s="55" t="s">
        <v>593</v>
      </c>
      <c r="U655" t="s">
        <v>472</v>
      </c>
      <c r="Z655" s="1351">
        <f>C628</f>
        <v>0</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1900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2"/>
      <c r="H657" s="1352"/>
      <c r="I657" s="1352"/>
      <c r="J657" s="1352"/>
      <c r="K657" s="1352"/>
      <c r="L657" s="1352"/>
      <c r="M657" s="1352"/>
      <c r="N657" s="1352"/>
      <c r="O657" s="1352"/>
      <c r="P657" s="1352"/>
      <c r="Q657" s="1352"/>
      <c r="R657" s="1352"/>
      <c r="T657" s="22"/>
      <c r="U657" t="s">
        <v>589</v>
      </c>
      <c r="Z657" s="1369"/>
      <c r="AA657" s="1369"/>
      <c r="AB657" s="1369"/>
      <c r="AC657" s="1369"/>
      <c r="AD657" s="1369"/>
      <c r="AE657" s="1369"/>
      <c r="AF657" s="1369"/>
      <c r="AG657" s="1369"/>
      <c r="AH657" s="1369"/>
      <c r="AI657" s="1369"/>
      <c r="AJ657" s="1369"/>
      <c r="AK657" s="1369"/>
      <c r="AZ657" s="3"/>
      <c r="BA657" s="118">
        <f t="shared" si="42"/>
        <v>1900</v>
      </c>
      <c r="BB657" s="3"/>
      <c r="BC657" s="3"/>
      <c r="BD657" s="3"/>
      <c r="BE657" s="3"/>
      <c r="BF657" s="218"/>
      <c r="BG657" s="315">
        <f t="shared" ref="BG657:BG681" si="43">G714</f>
        <v>4</v>
      </c>
      <c r="BH657" s="319">
        <f>BG657/$BG$682</f>
        <v>3.4782608695652174E-2</v>
      </c>
      <c r="BI657" s="320">
        <f t="shared" ref="BI657:BI681" si="44">IF(BH657=0," ",BH657*AC714)</f>
        <v>1.0434782608695651E-2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2"/>
      <c r="H658" s="1352"/>
      <c r="I658" s="1352"/>
      <c r="J658" s="1352"/>
      <c r="K658" s="1352"/>
      <c r="L658" s="1352"/>
      <c r="M658" s="1352"/>
      <c r="N658" s="1352"/>
      <c r="O658" s="1352"/>
      <c r="P658" s="1352"/>
      <c r="Q658" s="1352"/>
      <c r="R658" s="1352"/>
      <c r="T658" s="22"/>
      <c r="U658" t="s">
        <v>17</v>
      </c>
      <c r="Z658" s="1369"/>
      <c r="AA658" s="1369"/>
      <c r="AB658" s="1369"/>
      <c r="AC658" s="1369"/>
      <c r="AD658" s="1369"/>
      <c r="AE658" s="1369"/>
      <c r="AF658" s="1369"/>
      <c r="AG658" s="1369"/>
      <c r="AH658" s="1369"/>
      <c r="AI658" s="1369"/>
      <c r="AJ658" s="1369"/>
      <c r="AK658" s="1369"/>
      <c r="AZ658" s="3"/>
      <c r="BA658" s="118">
        <f t="shared" si="42"/>
        <v>1900</v>
      </c>
      <c r="BB658" s="3"/>
      <c r="BC658" s="3"/>
      <c r="BD658" s="3"/>
      <c r="BE658" s="3"/>
      <c r="BF658" s="218"/>
      <c r="BG658" s="316">
        <f t="shared" si="43"/>
        <v>14</v>
      </c>
      <c r="BH658" s="319">
        <f t="shared" ref="BH658:BH681" si="45">BG658/$BG$682</f>
        <v>0.12173913043478261</v>
      </c>
      <c r="BI658" s="320">
        <f t="shared" si="44"/>
        <v>6.0869565217391307E-2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372"/>
      <c r="H659" s="1372"/>
      <c r="I659" s="1372"/>
      <c r="J659" s="1372"/>
      <c r="K659" s="1372"/>
      <c r="L659" s="1372"/>
      <c r="O659" s="33" t="s">
        <v>207</v>
      </c>
      <c r="P659" s="1350"/>
      <c r="Q659" s="1350"/>
      <c r="R659" s="1350"/>
      <c r="T659" s="22"/>
      <c r="U659" t="s">
        <v>317</v>
      </c>
      <c r="Z659" s="1372"/>
      <c r="AA659" s="1372"/>
      <c r="AB659" s="1372"/>
      <c r="AC659" s="1372"/>
      <c r="AD659" s="1372"/>
      <c r="AE659" s="1372"/>
      <c r="AH659" s="33" t="s">
        <v>207</v>
      </c>
      <c r="AI659" s="1350"/>
      <c r="AJ659" s="1350"/>
      <c r="AK659" s="1350"/>
      <c r="AZ659" s="3"/>
      <c r="BA659" s="118">
        <f t="shared" si="42"/>
        <v>1900</v>
      </c>
      <c r="BB659" s="3"/>
      <c r="BC659" s="3"/>
      <c r="BD659" s="3"/>
      <c r="BE659" s="3"/>
      <c r="BF659" s="218"/>
      <c r="BG659" s="316">
        <f t="shared" si="43"/>
        <v>21</v>
      </c>
      <c r="BH659" s="319">
        <f t="shared" si="45"/>
        <v>0.18260869565217391</v>
      </c>
      <c r="BI659" s="320">
        <f t="shared" si="44"/>
        <v>0.12782608695652173</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2280</v>
      </c>
      <c r="BB660" s="3"/>
      <c r="BC660" s="3"/>
      <c r="BD660" s="3"/>
      <c r="BE660" s="3"/>
      <c r="BF660" s="218"/>
      <c r="BG660" s="316">
        <f t="shared" si="43"/>
        <v>1</v>
      </c>
      <c r="BH660" s="319">
        <f t="shared" si="45"/>
        <v>8.6956521739130436E-3</v>
      </c>
      <c r="BI660" s="320">
        <f t="shared" si="44"/>
        <v>6.956521739130435E-3</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0" t="s">
        <v>678</v>
      </c>
      <c r="O661" s="1370"/>
      <c r="T661" s="22"/>
      <c r="U661" t="s">
        <v>20</v>
      </c>
      <c r="AG661" s="1370" t="s">
        <v>678</v>
      </c>
      <c r="AH661" s="1370"/>
      <c r="AZ661" s="3"/>
      <c r="BA661" s="118">
        <f t="shared" si="42"/>
        <v>2280</v>
      </c>
      <c r="BB661" s="3"/>
      <c r="BC661" s="3"/>
      <c r="BD661" s="3"/>
      <c r="BE661" s="3"/>
      <c r="BF661" s="218"/>
      <c r="BG661" s="316">
        <f t="shared" si="43"/>
        <v>2</v>
      </c>
      <c r="BH661" s="319">
        <f t="shared" si="45"/>
        <v>1.7391304347826087E-2</v>
      </c>
      <c r="BI661" s="320">
        <f t="shared" si="44"/>
        <v>5.2173913043478256E-3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2280</v>
      </c>
      <c r="BB662" s="3"/>
      <c r="BC662" s="3"/>
      <c r="BD662" s="3"/>
      <c r="BE662" s="3"/>
      <c r="BF662" s="218"/>
      <c r="BG662" s="316">
        <f t="shared" si="43"/>
        <v>7</v>
      </c>
      <c r="BH662" s="319">
        <f t="shared" si="45"/>
        <v>6.0869565217391307E-2</v>
      </c>
      <c r="BI662" s="320">
        <f t="shared" si="44"/>
        <v>3.0434782608695653E-2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1">
        <f>C629</f>
        <v>0</v>
      </c>
      <c r="H663" s="1351"/>
      <c r="I663" s="1351"/>
      <c r="J663" s="1351"/>
      <c r="K663" s="1351"/>
      <c r="L663" s="1351"/>
      <c r="M663" s="1351"/>
      <c r="N663" s="1351"/>
      <c r="O663" s="1351"/>
      <c r="P663" s="1351"/>
      <c r="Q663" s="1351"/>
      <c r="R663" s="1351"/>
      <c r="T663" s="55" t="s">
        <v>465</v>
      </c>
      <c r="U663" t="s">
        <v>472</v>
      </c>
      <c r="Z663" s="1351">
        <f>C630</f>
        <v>0</v>
      </c>
      <c r="AA663" s="1351"/>
      <c r="AB663" s="1351"/>
      <c r="AC663" s="1351"/>
      <c r="AD663" s="1351"/>
      <c r="AE663" s="1351"/>
      <c r="AF663" s="1351"/>
      <c r="AG663" s="1351"/>
      <c r="AH663" s="1351"/>
      <c r="AI663" s="1351"/>
      <c r="AJ663" s="1351"/>
      <c r="AK663" s="1351"/>
      <c r="AZ663" s="3"/>
      <c r="BA663" s="118">
        <f t="shared" si="42"/>
        <v>2280</v>
      </c>
      <c r="BB663" s="3"/>
      <c r="BC663" s="3"/>
      <c r="BD663" s="3"/>
      <c r="BE663" s="3"/>
      <c r="BF663" s="218"/>
      <c r="BG663" s="316">
        <f t="shared" si="43"/>
        <v>11</v>
      </c>
      <c r="BH663" s="319">
        <f t="shared" si="45"/>
        <v>9.5652173913043481E-2</v>
      </c>
      <c r="BI663" s="320">
        <f t="shared" si="44"/>
        <v>6.6956521739130428E-2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2280</v>
      </c>
      <c r="BB664" s="3"/>
      <c r="BC664" s="3"/>
      <c r="BD664" s="3"/>
      <c r="BE664" s="3"/>
      <c r="BF664" s="218"/>
      <c r="BG664" s="316">
        <f t="shared" si="43"/>
        <v>3</v>
      </c>
      <c r="BH664" s="319">
        <f t="shared" si="45"/>
        <v>2.6086956521739129E-2</v>
      </c>
      <c r="BI664" s="320">
        <f t="shared" si="44"/>
        <v>7.826086956521738E-3</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2"/>
      <c r="H665" s="1352"/>
      <c r="I665" s="1352"/>
      <c r="J665" s="1352"/>
      <c r="K665" s="1352"/>
      <c r="L665" s="1352"/>
      <c r="M665" s="1352"/>
      <c r="N665" s="1352"/>
      <c r="O665" s="1352"/>
      <c r="P665" s="1352"/>
      <c r="Q665" s="1352"/>
      <c r="R665" s="1352"/>
      <c r="T665" s="22"/>
      <c r="U665" t="s">
        <v>589</v>
      </c>
      <c r="Z665" s="1369"/>
      <c r="AA665" s="1369"/>
      <c r="AB665" s="1369"/>
      <c r="AC665" s="1369"/>
      <c r="AD665" s="1369"/>
      <c r="AE665" s="1369"/>
      <c r="AF665" s="1369"/>
      <c r="AG665" s="1369"/>
      <c r="AH665" s="1369"/>
      <c r="AI665" s="1369"/>
      <c r="AJ665" s="1369"/>
      <c r="AK665" s="1369"/>
      <c r="AZ665" s="3"/>
      <c r="BA665" s="118">
        <f t="shared" si="42"/>
        <v>2280</v>
      </c>
      <c r="BB665" s="3"/>
      <c r="BC665" s="3"/>
      <c r="BD665" s="3"/>
      <c r="BE665" s="3"/>
      <c r="BF665" s="218"/>
      <c r="BG665" s="316">
        <f t="shared" si="43"/>
        <v>10</v>
      </c>
      <c r="BH665" s="319">
        <f t="shared" si="45"/>
        <v>8.6956521739130432E-2</v>
      </c>
      <c r="BI665" s="320">
        <f t="shared" si="44"/>
        <v>4.3478260869565216E-2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2"/>
      <c r="H666" s="1352"/>
      <c r="I666" s="1352"/>
      <c r="J666" s="1352"/>
      <c r="K666" s="1352"/>
      <c r="L666" s="1352"/>
      <c r="M666" s="1352"/>
      <c r="N666" s="1352"/>
      <c r="O666" s="1352"/>
      <c r="P666" s="1352"/>
      <c r="Q666" s="1352"/>
      <c r="R666" s="1352"/>
      <c r="T666" s="22"/>
      <c r="U666" t="s">
        <v>17</v>
      </c>
      <c r="Z666" s="1369"/>
      <c r="AA666" s="1369"/>
      <c r="AB666" s="1369"/>
      <c r="AC666" s="1369"/>
      <c r="AD666" s="1369"/>
      <c r="AE666" s="1369"/>
      <c r="AF666" s="1369"/>
      <c r="AG666" s="1369"/>
      <c r="AH666" s="1369"/>
      <c r="AI666" s="1369"/>
      <c r="AJ666" s="1369"/>
      <c r="AK666" s="1369"/>
      <c r="AZ666" s="3"/>
      <c r="BA666" s="118">
        <f t="shared" si="42"/>
        <v>2280</v>
      </c>
      <c r="BB666" s="3"/>
      <c r="BC666" s="3"/>
      <c r="BD666" s="3"/>
      <c r="BE666" s="3"/>
      <c r="BF666" s="218"/>
      <c r="BG666" s="316">
        <f t="shared" si="43"/>
        <v>12</v>
      </c>
      <c r="BH666" s="319">
        <f t="shared" si="45"/>
        <v>0.10434782608695652</v>
      </c>
      <c r="BI666" s="320">
        <f t="shared" si="44"/>
        <v>7.3043478260869557E-2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372"/>
      <c r="H667" s="1372"/>
      <c r="I667" s="1372"/>
      <c r="J667" s="1372"/>
      <c r="K667" s="1372"/>
      <c r="L667" s="1372"/>
      <c r="O667" s="33" t="s">
        <v>207</v>
      </c>
      <c r="P667" s="1350"/>
      <c r="Q667" s="1350"/>
      <c r="R667" s="1350"/>
      <c r="T667" s="22"/>
      <c r="U667" t="s">
        <v>317</v>
      </c>
      <c r="Z667" s="1372"/>
      <c r="AA667" s="1372"/>
      <c r="AB667" s="1372"/>
      <c r="AC667" s="1372"/>
      <c r="AD667" s="1372"/>
      <c r="AE667" s="1372"/>
      <c r="AH667" s="33" t="s">
        <v>207</v>
      </c>
      <c r="AI667" s="1350"/>
      <c r="AJ667" s="1350"/>
      <c r="AK667" s="1350"/>
      <c r="AZ667" s="3"/>
      <c r="BA667" s="118">
        <f t="shared" si="42"/>
        <v>2634</v>
      </c>
      <c r="BB667" s="3"/>
      <c r="BC667" s="3"/>
      <c r="BD667" s="3"/>
      <c r="BE667" s="3"/>
      <c r="BF667" s="218"/>
      <c r="BG667" s="316">
        <f t="shared" si="43"/>
        <v>1</v>
      </c>
      <c r="BH667" s="319">
        <f t="shared" si="45"/>
        <v>8.6956521739130436E-3</v>
      </c>
      <c r="BI667" s="320">
        <f t="shared" si="44"/>
        <v>6.956521739130435E-3</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f t="shared" si="42"/>
        <v>2634</v>
      </c>
      <c r="BB668" s="3"/>
      <c r="BC668" s="3"/>
      <c r="BD668" s="3"/>
      <c r="BE668" s="3"/>
      <c r="BF668" s="218"/>
      <c r="BG668" s="316">
        <f t="shared" si="43"/>
        <v>3</v>
      </c>
      <c r="BH668" s="319">
        <f t="shared" si="45"/>
        <v>2.6086956521739129E-2</v>
      </c>
      <c r="BI668" s="320">
        <f t="shared" si="44"/>
        <v>7.826086956521738E-3</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0" t="s">
        <v>678</v>
      </c>
      <c r="O669" s="1370"/>
      <c r="T669" s="22"/>
      <c r="U669" t="s">
        <v>20</v>
      </c>
      <c r="AG669" s="1370" t="s">
        <v>678</v>
      </c>
      <c r="AH669" s="1370"/>
      <c r="AZ669" s="3"/>
      <c r="BA669" s="118">
        <f t="shared" si="42"/>
        <v>2634</v>
      </c>
      <c r="BB669" s="3"/>
      <c r="BC669" s="3"/>
      <c r="BD669" s="3"/>
      <c r="BE669" s="3"/>
      <c r="BF669" s="218"/>
      <c r="BG669" s="316">
        <f t="shared" si="43"/>
        <v>10</v>
      </c>
      <c r="BH669" s="319">
        <f t="shared" si="45"/>
        <v>8.6956521739130432E-2</v>
      </c>
      <c r="BI669" s="320">
        <f t="shared" si="44"/>
        <v>4.3478260869565216E-2</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2634</v>
      </c>
      <c r="BB670" s="3"/>
      <c r="BC670" s="3"/>
      <c r="BD670" s="3"/>
      <c r="BE670" s="3"/>
      <c r="BF670" s="218"/>
      <c r="BG670" s="316">
        <f t="shared" si="43"/>
        <v>15</v>
      </c>
      <c r="BH670" s="319">
        <f t="shared" si="45"/>
        <v>0.13043478260869565</v>
      </c>
      <c r="BI670" s="320">
        <f t="shared" si="44"/>
        <v>9.1304347826086943E-2</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1">
        <f>C631</f>
        <v>0</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1</v>
      </c>
      <c r="BH671" s="319">
        <f t="shared" si="45"/>
        <v>8.6956521739130436E-3</v>
      </c>
      <c r="BI671" s="320">
        <f t="shared" si="44"/>
        <v>6.956521739130435E-3</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2"/>
      <c r="H673" s="1352"/>
      <c r="I673" s="1352"/>
      <c r="J673" s="1352"/>
      <c r="K673" s="1352"/>
      <c r="L673" s="1352"/>
      <c r="M673" s="1352"/>
      <c r="N673" s="1352"/>
      <c r="O673" s="1352"/>
      <c r="P673" s="1352"/>
      <c r="Q673" s="1352"/>
      <c r="R673" s="1352"/>
      <c r="T673" s="22"/>
      <c r="U673" t="s">
        <v>589</v>
      </c>
      <c r="Z673" s="1369"/>
      <c r="AA673" s="1369"/>
      <c r="AB673" s="1369"/>
      <c r="AC673" s="1369"/>
      <c r="AD673" s="1369"/>
      <c r="AE673" s="1369"/>
      <c r="AF673" s="1369"/>
      <c r="AG673" s="1369"/>
      <c r="AH673" s="1369"/>
      <c r="AI673" s="1369"/>
      <c r="AJ673" s="1369"/>
      <c r="AK673" s="136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69"/>
      <c r="AA674" s="1369"/>
      <c r="AB674" s="1369"/>
      <c r="AC674" s="1369"/>
      <c r="AD674" s="1369"/>
      <c r="AE674" s="1369"/>
      <c r="AF674" s="1369"/>
      <c r="AG674" s="1369"/>
      <c r="AH674" s="1369"/>
      <c r="AI674" s="1369"/>
      <c r="AJ674" s="1369"/>
      <c r="AK674" s="136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372"/>
      <c r="H675" s="1372"/>
      <c r="I675" s="1372"/>
      <c r="J675" s="1372"/>
      <c r="K675" s="1372"/>
      <c r="L675" s="1372"/>
      <c r="O675" s="33" t="s">
        <v>207</v>
      </c>
      <c r="P675" s="1350"/>
      <c r="Q675" s="1350"/>
      <c r="R675" s="1350"/>
      <c r="T675" s="22"/>
      <c r="U675" t="s">
        <v>317</v>
      </c>
      <c r="Z675" s="1372"/>
      <c r="AA675" s="1372"/>
      <c r="AB675" s="1372"/>
      <c r="AC675" s="1372"/>
      <c r="AD675" s="1372"/>
      <c r="AE675" s="1372"/>
      <c r="AH675" s="33" t="s">
        <v>207</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0" t="s">
        <v>678</v>
      </c>
      <c r="O677" s="1370"/>
      <c r="T677" s="22"/>
      <c r="U677" t="s">
        <v>20</v>
      </c>
      <c r="AG677" s="1370" t="s">
        <v>678</v>
      </c>
      <c r="AH677" s="1370"/>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351">
        <f>C633</f>
        <v>0</v>
      </c>
      <c r="H679" s="1351"/>
      <c r="I679" s="1351"/>
      <c r="J679" s="1351"/>
      <c r="K679" s="1351"/>
      <c r="L679" s="1351"/>
      <c r="M679" s="1351"/>
      <c r="N679" s="1351"/>
      <c r="O679" s="1351"/>
      <c r="P679" s="1351"/>
      <c r="Q679" s="1351"/>
      <c r="R679" s="1351"/>
      <c r="T679" s="55" t="s">
        <v>364</v>
      </c>
      <c r="U679" t="s">
        <v>472</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2"/>
      <c r="H681" s="1352"/>
      <c r="I681" s="1352"/>
      <c r="J681" s="1352"/>
      <c r="K681" s="1352"/>
      <c r="L681" s="1352"/>
      <c r="M681" s="1352"/>
      <c r="N681" s="1352"/>
      <c r="O681" s="1352"/>
      <c r="P681" s="1352"/>
      <c r="Q681" s="1352"/>
      <c r="R681" s="1352"/>
      <c r="U681" t="s">
        <v>589</v>
      </c>
      <c r="Z681" s="1369"/>
      <c r="AA681" s="1369"/>
      <c r="AB681" s="1369"/>
      <c r="AC681" s="1369"/>
      <c r="AD681" s="1369"/>
      <c r="AE681" s="1369"/>
      <c r="AF681" s="1369"/>
      <c r="AG681" s="1369"/>
      <c r="AH681" s="1369"/>
      <c r="AI681" s="1369"/>
      <c r="AJ681" s="1369"/>
      <c r="AK681" s="1369"/>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69"/>
      <c r="AA682" s="1369"/>
      <c r="AB682" s="1369"/>
      <c r="AC682" s="1369"/>
      <c r="AD682" s="1369"/>
      <c r="AE682" s="1369"/>
      <c r="AF682" s="1369"/>
      <c r="AG682" s="1369"/>
      <c r="AH682" s="1369"/>
      <c r="AI682" s="1369"/>
      <c r="AJ682" s="1369"/>
      <c r="AK682" s="1369"/>
      <c r="AZ682" s="3"/>
      <c r="BA682" s="3"/>
      <c r="BB682" s="3"/>
      <c r="BC682" s="3"/>
      <c r="BD682" s="3"/>
      <c r="BF682" s="312" t="s">
        <v>932</v>
      </c>
      <c r="BG682" s="321">
        <f>SUM(BG657:BG681)</f>
        <v>115</v>
      </c>
      <c r="BH682" s="322">
        <f>SUM(BH657:BH681)</f>
        <v>0.99999999999999989</v>
      </c>
      <c r="BI682" s="322">
        <f>SUM(BI657:BI681)</f>
        <v>0.5895652173913043</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372"/>
      <c r="H683" s="1372"/>
      <c r="I683" s="1372"/>
      <c r="J683" s="1372"/>
      <c r="K683" s="1372"/>
      <c r="L683" s="1372"/>
      <c r="O683" s="33" t="s">
        <v>207</v>
      </c>
      <c r="P683" s="1350"/>
      <c r="Q683" s="1350"/>
      <c r="R683" s="1350"/>
      <c r="U683" t="s">
        <v>317</v>
      </c>
      <c r="Z683" s="1372"/>
      <c r="AA683" s="1372"/>
      <c r="AB683" s="1372"/>
      <c r="AC683" s="1372"/>
      <c r="AD683" s="1372"/>
      <c r="AE683" s="1372"/>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0" t="s">
        <v>678</v>
      </c>
      <c r="O685" s="1370"/>
      <c r="U685" t="s">
        <v>20</v>
      </c>
      <c r="AG685" s="1370" t="s">
        <v>678</v>
      </c>
      <c r="AH685" s="1370"/>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70" t="s">
        <v>554</v>
      </c>
      <c r="AF689" s="1370"/>
      <c r="AZ689" s="34"/>
      <c r="BA689" s="34"/>
      <c r="BB689" s="34"/>
      <c r="BC689" s="34"/>
      <c r="BD689" s="34"/>
      <c r="BE689" s="34"/>
      <c r="BF689" s="34"/>
      <c r="BG689" s="315">
        <f t="shared" ref="BG689:BG713" si="46">G714</f>
        <v>4</v>
      </c>
      <c r="BH689" s="319">
        <f>BG689/$BG$714</f>
        <v>3.4782608695652174E-2</v>
      </c>
      <c r="BI689" s="320">
        <f t="shared" ref="BI689:BI713" si="47">IF(BH689=0," ",BH689*AH714)</f>
        <v>1.0434782608695651E-2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70" t="s">
        <v>554</v>
      </c>
      <c r="AF690" s="1370"/>
      <c r="AZ690" s="34"/>
      <c r="BA690" s="34"/>
      <c r="BB690" s="34"/>
      <c r="BC690" s="34"/>
      <c r="BD690" s="34"/>
      <c r="BE690" s="34"/>
      <c r="BF690" s="34"/>
      <c r="BG690" s="316">
        <f t="shared" si="46"/>
        <v>14</v>
      </c>
      <c r="BH690" s="319">
        <f t="shared" ref="BH690:BH713" si="48">BG690/$BG$714</f>
        <v>0.12173913043478261</v>
      </c>
      <c r="BI690" s="320">
        <f t="shared" si="47"/>
        <v>6.0869565217391307E-2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31">
        <v>44964</v>
      </c>
      <c r="AF691" s="1631"/>
      <c r="AG691" s="1631"/>
      <c r="AH691" s="1631"/>
      <c r="AI691" s="1631"/>
      <c r="AZ691" s="34"/>
      <c r="BA691" s="34"/>
      <c r="BB691" s="34"/>
      <c r="BC691" s="34"/>
      <c r="BD691" s="34"/>
      <c r="BE691" s="3"/>
      <c r="BF691" s="3"/>
      <c r="BG691" s="316">
        <f t="shared" si="46"/>
        <v>21</v>
      </c>
      <c r="BH691" s="319">
        <f t="shared" si="48"/>
        <v>0.18260869565217391</v>
      </c>
      <c r="BI691" s="320">
        <f t="shared" si="47"/>
        <v>0.12782608695652173</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33">
        <v>45056</v>
      </c>
      <c r="AF692" s="1633"/>
      <c r="AG692" s="1633"/>
      <c r="AH692" s="1633"/>
      <c r="AI692" s="1633"/>
      <c r="AZ692" s="34"/>
      <c r="BA692" s="34"/>
      <c r="BB692" s="34"/>
      <c r="BC692" s="34"/>
      <c r="BD692" s="34"/>
      <c r="BE692" s="3"/>
      <c r="BF692" s="2"/>
      <c r="BG692" s="316">
        <f t="shared" si="46"/>
        <v>1</v>
      </c>
      <c r="BH692" s="319">
        <f t="shared" si="48"/>
        <v>8.6956521739130436E-3</v>
      </c>
      <c r="BI692" s="320">
        <f t="shared" si="47"/>
        <v>6.9610983981693358E-3</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2</v>
      </c>
      <c r="BH693" s="319">
        <f t="shared" si="48"/>
        <v>1.7391304347826087E-2</v>
      </c>
      <c r="BI693" s="320">
        <f t="shared" si="47"/>
        <v>5.2173913043478256E-3</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31">
        <v>45231</v>
      </c>
      <c r="AF694" s="1631"/>
      <c r="AG694" s="1631"/>
      <c r="AH694" s="1631"/>
      <c r="AI694" s="1631"/>
      <c r="AZ694" s="3"/>
      <c r="BA694" s="3"/>
      <c r="BB694" s="3"/>
      <c r="BC694" s="3"/>
      <c r="BD694" s="3"/>
      <c r="BE694" s="3"/>
      <c r="BF694" s="3"/>
      <c r="BG694" s="316">
        <f t="shared" si="46"/>
        <v>7</v>
      </c>
      <c r="BH694" s="319">
        <f t="shared" si="48"/>
        <v>6.0869565217391307E-2</v>
      </c>
      <c r="BI694" s="320">
        <f t="shared" si="47"/>
        <v>3.0434782608695653E-2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62">
        <v>0.54720000000000002</v>
      </c>
      <c r="AF695" s="1662"/>
      <c r="AG695" s="1662"/>
      <c r="AH695" s="1662"/>
      <c r="AI695" s="1662"/>
      <c r="AZ695" s="3"/>
      <c r="BA695" s="3"/>
      <c r="BB695" s="3"/>
      <c r="BC695" s="3"/>
      <c r="BD695" s="3"/>
      <c r="BE695" s="3"/>
      <c r="BF695" s="3"/>
      <c r="BG695" s="316">
        <f t="shared" si="46"/>
        <v>11</v>
      </c>
      <c r="BH695" s="319">
        <f t="shared" si="48"/>
        <v>9.5652173913043481E-2</v>
      </c>
      <c r="BI695" s="320">
        <f t="shared" si="47"/>
        <v>6.6159420289855067E-2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351" t="str">
        <f>H334</f>
        <v>California Municipal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3</v>
      </c>
      <c r="BH696" s="319">
        <f t="shared" si="48"/>
        <v>2.6086956521739129E-2</v>
      </c>
      <c r="BI696" s="320">
        <f t="shared" si="47"/>
        <v>7.826086956521738E-3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10</v>
      </c>
      <c r="BH697" s="319">
        <f t="shared" si="48"/>
        <v>8.6956521739130432E-2</v>
      </c>
      <c r="BI697" s="320">
        <f t="shared" si="47"/>
        <v>4.3478260869565216E-2</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70" t="s">
        <v>678</v>
      </c>
      <c r="AF698" s="1370"/>
      <c r="AZ698" s="3"/>
      <c r="BA698" s="3"/>
      <c r="BB698" s="3"/>
      <c r="BC698" s="3"/>
      <c r="BD698" s="3"/>
      <c r="BE698" s="3"/>
      <c r="BF698" s="3"/>
      <c r="BG698" s="316">
        <f t="shared" si="46"/>
        <v>12</v>
      </c>
      <c r="BH698" s="319">
        <f t="shared" si="48"/>
        <v>0.10434782608695652</v>
      </c>
      <c r="BI698" s="320">
        <f t="shared" si="47"/>
        <v>7.3043478260869557E-2</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1</v>
      </c>
      <c r="BH699" s="319">
        <f t="shared" si="48"/>
        <v>8.6956521739130436E-3</v>
      </c>
      <c r="BI699" s="320">
        <f t="shared" si="47"/>
        <v>6.956521739130435E-3</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3</v>
      </c>
      <c r="BH700" s="319">
        <f t="shared" si="48"/>
        <v>2.6086956521739129E-2</v>
      </c>
      <c r="BI700" s="320">
        <f t="shared" si="47"/>
        <v>7.824106170149548E-3</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75">
      <c r="B701" s="135"/>
      <c r="C701" s="135"/>
      <c r="D701" s="136" t="s">
        <v>89</v>
      </c>
      <c r="J701" s="1372"/>
      <c r="K701" s="1372"/>
      <c r="L701" s="1372"/>
      <c r="M701" s="1372"/>
      <c r="N701" s="1372"/>
      <c r="O701" s="1372"/>
      <c r="P701" s="4" t="s">
        <v>207</v>
      </c>
      <c r="Q701" s="4"/>
      <c r="R701" s="1350"/>
      <c r="S701" s="1350"/>
      <c r="T701" s="1350"/>
      <c r="AZ701" s="3"/>
      <c r="BA701" s="3"/>
      <c r="BB701" s="3"/>
      <c r="BC701" s="3"/>
      <c r="BD701" s="3"/>
      <c r="BE701" s="3"/>
      <c r="BF701" s="3"/>
      <c r="BG701" s="316">
        <f t="shared" si="46"/>
        <v>10</v>
      </c>
      <c r="BH701" s="319">
        <f t="shared" si="48"/>
        <v>8.6956521739130432E-2</v>
      </c>
      <c r="BI701" s="320">
        <f t="shared" si="47"/>
        <v>4.3478260869565216E-2</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75">
      <c r="B702" s="135"/>
      <c r="C702" s="135"/>
      <c r="D702" s="136" t="s">
        <v>446</v>
      </c>
      <c r="W702" s="1352" t="s">
        <v>308</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15</v>
      </c>
      <c r="BH702" s="319">
        <f t="shared" si="48"/>
        <v>0.13043478260869565</v>
      </c>
      <c r="BI702" s="320">
        <f t="shared" si="47"/>
        <v>9.1314251757947898E-2</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2" t="s">
        <v>335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1</v>
      </c>
      <c r="BH703" s="319">
        <f t="shared" si="48"/>
        <v>8.6956521739130436E-3</v>
      </c>
      <c r="BI703" s="320">
        <f t="shared" si="47"/>
        <v>6.8040011884718237E-3</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586" t="s">
        <v>390</v>
      </c>
      <c r="C710" s="1406"/>
      <c r="D710" s="1406"/>
      <c r="E710" s="1406"/>
      <c r="F710" s="1407"/>
      <c r="G710" s="1586" t="s">
        <v>286</v>
      </c>
      <c r="H710" s="1406"/>
      <c r="I710" s="1406"/>
      <c r="J710" s="1407"/>
      <c r="K710" s="1625" t="s">
        <v>1938</v>
      </c>
      <c r="L710" s="1626"/>
      <c r="M710" s="1626"/>
      <c r="N710" s="1627"/>
      <c r="O710" s="1586" t="s">
        <v>456</v>
      </c>
      <c r="P710" s="1406"/>
      <c r="Q710" s="1406"/>
      <c r="R710" s="1406"/>
      <c r="S710" s="1407"/>
      <c r="T710" s="1405" t="s">
        <v>2335</v>
      </c>
      <c r="U710" s="1406"/>
      <c r="V710" s="1406"/>
      <c r="W710" s="1407"/>
      <c r="X710" s="1405" t="s">
        <v>2337</v>
      </c>
      <c r="Y710" s="1406"/>
      <c r="Z710" s="1406"/>
      <c r="AA710" s="1406"/>
      <c r="AB710" s="1407"/>
      <c r="AC710" s="1405" t="s">
        <v>2336</v>
      </c>
      <c r="AD710" s="1406"/>
      <c r="AE710" s="1406"/>
      <c r="AF710" s="1406"/>
      <c r="AG710" s="1407"/>
      <c r="AH710" s="1405" t="s">
        <v>2338</v>
      </c>
      <c r="AI710" s="1406"/>
      <c r="AJ710" s="1407"/>
      <c r="AK710" s="1405" t="s">
        <v>2372</v>
      </c>
      <c r="AL710" s="1406"/>
      <c r="AM710" s="1406"/>
      <c r="AN710" s="1406"/>
      <c r="AO710" s="1407"/>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8"/>
      <c r="C711" s="1409"/>
      <c r="D711" s="1409"/>
      <c r="E711" s="1409"/>
      <c r="F711" s="1410"/>
      <c r="G711" s="1408"/>
      <c r="H711" s="1409"/>
      <c r="I711" s="1409"/>
      <c r="J711" s="1410"/>
      <c r="K711" s="1628"/>
      <c r="L711" s="1629"/>
      <c r="M711" s="1629"/>
      <c r="N711" s="1630"/>
      <c r="O711" s="1408"/>
      <c r="P711" s="1409"/>
      <c r="Q711" s="1409"/>
      <c r="R711" s="1409"/>
      <c r="S711" s="1410"/>
      <c r="T711" s="1408"/>
      <c r="U711" s="1409"/>
      <c r="V711" s="1409"/>
      <c r="W711" s="1410"/>
      <c r="X711" s="1408"/>
      <c r="Y711" s="1409"/>
      <c r="Z711" s="1409"/>
      <c r="AA711" s="1409"/>
      <c r="AB711" s="1410"/>
      <c r="AC711" s="1408"/>
      <c r="AD711" s="1409"/>
      <c r="AE711" s="1409"/>
      <c r="AF711" s="1409"/>
      <c r="AG711" s="1410"/>
      <c r="AH711" s="1408"/>
      <c r="AI711" s="1409"/>
      <c r="AJ711" s="1410"/>
      <c r="AK711" s="1408"/>
      <c r="AL711" s="1409"/>
      <c r="AM711" s="1409"/>
      <c r="AN711" s="1409"/>
      <c r="AO711" s="1410"/>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8"/>
      <c r="C712" s="1409"/>
      <c r="D712" s="1409"/>
      <c r="E712" s="1409"/>
      <c r="F712" s="1410"/>
      <c r="G712" s="1408"/>
      <c r="H712" s="1409"/>
      <c r="I712" s="1409"/>
      <c r="J712" s="1410"/>
      <c r="K712" s="1628"/>
      <c r="L712" s="1629"/>
      <c r="M712" s="1629"/>
      <c r="N712" s="1630"/>
      <c r="O712" s="1408"/>
      <c r="P712" s="1409"/>
      <c r="Q712" s="1409"/>
      <c r="R712" s="1409"/>
      <c r="S712" s="1410"/>
      <c r="T712" s="1408"/>
      <c r="U712" s="1409"/>
      <c r="V712" s="1409"/>
      <c r="W712" s="1410"/>
      <c r="X712" s="1408"/>
      <c r="Y712" s="1409"/>
      <c r="Z712" s="1409"/>
      <c r="AA712" s="1409"/>
      <c r="AB712" s="1410"/>
      <c r="AC712" s="1408"/>
      <c r="AD712" s="1409"/>
      <c r="AE712" s="1409"/>
      <c r="AF712" s="1409"/>
      <c r="AG712" s="1410"/>
      <c r="AH712" s="1408"/>
      <c r="AI712" s="1409"/>
      <c r="AJ712" s="1410"/>
      <c r="AK712" s="1408"/>
      <c r="AL712" s="1409"/>
      <c r="AM712" s="1409"/>
      <c r="AN712" s="1409"/>
      <c r="AO712" s="1410"/>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11"/>
      <c r="C713" s="1412"/>
      <c r="D713" s="1412"/>
      <c r="E713" s="1412"/>
      <c r="F713" s="1413"/>
      <c r="G713" s="1411"/>
      <c r="H713" s="1412"/>
      <c r="I713" s="1412"/>
      <c r="J713" s="1413"/>
      <c r="K713" s="1628"/>
      <c r="L713" s="1629"/>
      <c r="M713" s="1629"/>
      <c r="N713" s="1630"/>
      <c r="O713" s="1411"/>
      <c r="P713" s="1412"/>
      <c r="Q713" s="1412"/>
      <c r="R713" s="1412"/>
      <c r="S713" s="1413"/>
      <c r="T713" s="1411"/>
      <c r="U713" s="1412"/>
      <c r="V713" s="1412"/>
      <c r="W713" s="1413"/>
      <c r="X713" s="1411"/>
      <c r="Y713" s="1412"/>
      <c r="Z713" s="1412"/>
      <c r="AA713" s="1412"/>
      <c r="AB713" s="1413"/>
      <c r="AC713" s="1411"/>
      <c r="AD713" s="1412"/>
      <c r="AE713" s="1412"/>
      <c r="AF713" s="1412"/>
      <c r="AG713" s="1413"/>
      <c r="AH713" s="1411"/>
      <c r="AI713" s="1412"/>
      <c r="AJ713" s="1413"/>
      <c r="AK713" s="1411"/>
      <c r="AL713" s="1412"/>
      <c r="AM713" s="1412"/>
      <c r="AN713" s="1412"/>
      <c r="AO713" s="1413"/>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1" t="s">
        <v>326</v>
      </c>
      <c r="C714" s="1382"/>
      <c r="D714" s="1382"/>
      <c r="E714" s="1382"/>
      <c r="F714" s="1383"/>
      <c r="G714" s="1396">
        <v>4</v>
      </c>
      <c r="H714" s="1397"/>
      <c r="I714" s="1397"/>
      <c r="J714" s="1398"/>
      <c r="K714" s="1393">
        <v>538</v>
      </c>
      <c r="L714" s="1394"/>
      <c r="M714" s="1394"/>
      <c r="N714" s="1395"/>
      <c r="O714" s="1390">
        <v>521</v>
      </c>
      <c r="P714" s="1391"/>
      <c r="Q714" s="1391"/>
      <c r="R714" s="1391"/>
      <c r="S714" s="1392"/>
      <c r="T714" s="1390">
        <v>49</v>
      </c>
      <c r="U714" s="1391"/>
      <c r="V714" s="1391"/>
      <c r="W714" s="1392"/>
      <c r="X714" s="1387">
        <f t="shared" ref="X714:X738" si="49">O714+T714</f>
        <v>570</v>
      </c>
      <c r="Y714" s="1388"/>
      <c r="Z714" s="1388"/>
      <c r="AA714" s="1388"/>
      <c r="AB714" s="1389"/>
      <c r="AC714" s="1384">
        <v>0.3</v>
      </c>
      <c r="AD714" s="1385"/>
      <c r="AE714" s="1385"/>
      <c r="AF714" s="1385"/>
      <c r="AG714" s="1386"/>
      <c r="AH714" s="1399">
        <f t="shared" ref="AH714:AH738" si="50">IF($AC714&gt;0,($X714/$BA656), " ")</f>
        <v>0.3</v>
      </c>
      <c r="AI714" s="1400"/>
      <c r="AJ714" s="1401"/>
      <c r="AK714" s="1381" t="s">
        <v>600</v>
      </c>
      <c r="AL714" s="1382"/>
      <c r="AM714" s="1382"/>
      <c r="AN714" s="1382"/>
      <c r="AO714" s="1383"/>
      <c r="AP714" s="3"/>
      <c r="AQ714" s="3"/>
      <c r="AR714" s="3"/>
      <c r="AS714" s="3"/>
      <c r="AY714" s="1134"/>
      <c r="AZ714" s="1134"/>
      <c r="BA714" s="1134"/>
      <c r="BB714" s="1134"/>
      <c r="BC714" s="1134"/>
      <c r="BD714" s="3"/>
      <c r="BE714" s="3"/>
      <c r="BF714" s="3"/>
      <c r="BG714" s="895">
        <f>SUM(BG689:BG713)</f>
        <v>115</v>
      </c>
      <c r="BH714" s="322">
        <f>SUM(BH689:BH713)</f>
        <v>0.99999999999999989</v>
      </c>
      <c r="BI714" s="322">
        <f>SUM(BI689:BI713)</f>
        <v>0.58862809519589798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1" t="s">
        <v>326</v>
      </c>
      <c r="C715" s="1382"/>
      <c r="D715" s="1382"/>
      <c r="E715" s="1382"/>
      <c r="F715" s="1383"/>
      <c r="G715" s="1396">
        <v>14</v>
      </c>
      <c r="H715" s="1397"/>
      <c r="I715" s="1397"/>
      <c r="J715" s="1398"/>
      <c r="K715" s="1393">
        <v>538</v>
      </c>
      <c r="L715" s="1394"/>
      <c r="M715" s="1394"/>
      <c r="N715" s="1395"/>
      <c r="O715" s="1390">
        <v>901</v>
      </c>
      <c r="P715" s="1391"/>
      <c r="Q715" s="1391"/>
      <c r="R715" s="1391"/>
      <c r="S715" s="1392"/>
      <c r="T715" s="1390">
        <v>49</v>
      </c>
      <c r="U715" s="1391"/>
      <c r="V715" s="1391"/>
      <c r="W715" s="1392"/>
      <c r="X715" s="1387">
        <f t="shared" si="49"/>
        <v>950</v>
      </c>
      <c r="Y715" s="1388"/>
      <c r="Z715" s="1388"/>
      <c r="AA715" s="1388"/>
      <c r="AB715" s="1389"/>
      <c r="AC715" s="1384">
        <v>0.5</v>
      </c>
      <c r="AD715" s="1385"/>
      <c r="AE715" s="1385"/>
      <c r="AF715" s="1385"/>
      <c r="AG715" s="1386"/>
      <c r="AH715" s="1399">
        <f t="shared" si="50"/>
        <v>0.5</v>
      </c>
      <c r="AI715" s="1400"/>
      <c r="AJ715" s="1401"/>
      <c r="AK715" s="1381" t="s">
        <v>600</v>
      </c>
      <c r="AL715" s="1382"/>
      <c r="AM715" s="1382"/>
      <c r="AN715" s="1382"/>
      <c r="AO715" s="138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1" t="s">
        <v>326</v>
      </c>
      <c r="C716" s="1382"/>
      <c r="D716" s="1382"/>
      <c r="E716" s="1382"/>
      <c r="F716" s="1383"/>
      <c r="G716" s="1396">
        <v>21</v>
      </c>
      <c r="H716" s="1397"/>
      <c r="I716" s="1397"/>
      <c r="J716" s="1398"/>
      <c r="K716" s="1393">
        <v>538</v>
      </c>
      <c r="L716" s="1394"/>
      <c r="M716" s="1394"/>
      <c r="N716" s="1395"/>
      <c r="O716" s="1390">
        <v>1281</v>
      </c>
      <c r="P716" s="1391"/>
      <c r="Q716" s="1391"/>
      <c r="R716" s="1391"/>
      <c r="S716" s="1392"/>
      <c r="T716" s="1390">
        <v>49</v>
      </c>
      <c r="U716" s="1391"/>
      <c r="V716" s="1391"/>
      <c r="W716" s="1392"/>
      <c r="X716" s="1387">
        <f t="shared" si="49"/>
        <v>1330</v>
      </c>
      <c r="Y716" s="1388"/>
      <c r="Z716" s="1388"/>
      <c r="AA716" s="1388"/>
      <c r="AB716" s="1389"/>
      <c r="AC716" s="1384">
        <v>0.7</v>
      </c>
      <c r="AD716" s="1385"/>
      <c r="AE716" s="1385"/>
      <c r="AF716" s="1385"/>
      <c r="AG716" s="1386"/>
      <c r="AH716" s="1399">
        <f t="shared" si="50"/>
        <v>0.7</v>
      </c>
      <c r="AI716" s="1400"/>
      <c r="AJ716" s="1401"/>
      <c r="AK716" s="1381" t="s">
        <v>600</v>
      </c>
      <c r="AL716" s="1382"/>
      <c r="AM716" s="1382"/>
      <c r="AN716" s="1382"/>
      <c r="AO716" s="138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1" t="s">
        <v>326</v>
      </c>
      <c r="C717" s="1382"/>
      <c r="D717" s="1382"/>
      <c r="E717" s="1382"/>
      <c r="F717" s="1383"/>
      <c r="G717" s="1396">
        <v>1</v>
      </c>
      <c r="H717" s="1397"/>
      <c r="I717" s="1397"/>
      <c r="J717" s="1398"/>
      <c r="K717" s="1393">
        <v>538</v>
      </c>
      <c r="L717" s="1394"/>
      <c r="M717" s="1394"/>
      <c r="N717" s="1395"/>
      <c r="O717" s="1390">
        <v>1472</v>
      </c>
      <c r="P717" s="1391"/>
      <c r="Q717" s="1391"/>
      <c r="R717" s="1391"/>
      <c r="S717" s="1392"/>
      <c r="T717" s="1390">
        <v>49</v>
      </c>
      <c r="U717" s="1391"/>
      <c r="V717" s="1391"/>
      <c r="W717" s="1392"/>
      <c r="X717" s="1387">
        <f t="shared" si="49"/>
        <v>1521</v>
      </c>
      <c r="Y717" s="1388"/>
      <c r="Z717" s="1388"/>
      <c r="AA717" s="1388"/>
      <c r="AB717" s="1389"/>
      <c r="AC717" s="1384">
        <v>0.8</v>
      </c>
      <c r="AD717" s="1385"/>
      <c r="AE717" s="1385"/>
      <c r="AF717" s="1385"/>
      <c r="AG717" s="1386"/>
      <c r="AH717" s="1399">
        <f t="shared" si="50"/>
        <v>0.80052631578947364</v>
      </c>
      <c r="AI717" s="1400"/>
      <c r="AJ717" s="1401"/>
      <c r="AK717" s="1381" t="s">
        <v>600</v>
      </c>
      <c r="AL717" s="1382"/>
      <c r="AM717" s="1382"/>
      <c r="AN717" s="1382"/>
      <c r="AO717" s="138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1" t="s">
        <v>164</v>
      </c>
      <c r="C718" s="1382"/>
      <c r="D718" s="1382"/>
      <c r="E718" s="1382"/>
      <c r="F718" s="1383"/>
      <c r="G718" s="1396">
        <v>2</v>
      </c>
      <c r="H718" s="1397"/>
      <c r="I718" s="1397"/>
      <c r="J718" s="1398"/>
      <c r="K718" s="1393">
        <v>716</v>
      </c>
      <c r="L718" s="1394"/>
      <c r="M718" s="1394"/>
      <c r="N718" s="1395"/>
      <c r="O718" s="1390">
        <v>624</v>
      </c>
      <c r="P718" s="1391"/>
      <c r="Q718" s="1391"/>
      <c r="R718" s="1391"/>
      <c r="S718" s="1392"/>
      <c r="T718" s="1390">
        <v>60</v>
      </c>
      <c r="U718" s="1391"/>
      <c r="V718" s="1391"/>
      <c r="W718" s="1392"/>
      <c r="X718" s="1387">
        <f t="shared" si="49"/>
        <v>684</v>
      </c>
      <c r="Y718" s="1388"/>
      <c r="Z718" s="1388"/>
      <c r="AA718" s="1388"/>
      <c r="AB718" s="1389"/>
      <c r="AC718" s="1384">
        <v>0.3</v>
      </c>
      <c r="AD718" s="1385"/>
      <c r="AE718" s="1385"/>
      <c r="AF718" s="1385"/>
      <c r="AG718" s="1386"/>
      <c r="AH718" s="1399">
        <f t="shared" si="50"/>
        <v>0.3</v>
      </c>
      <c r="AI718" s="1400"/>
      <c r="AJ718" s="1401"/>
      <c r="AK718" s="1381" t="s">
        <v>600</v>
      </c>
      <c r="AL718" s="1382"/>
      <c r="AM718" s="1382"/>
      <c r="AN718" s="1382"/>
      <c r="AO718" s="138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1" t="s">
        <v>164</v>
      </c>
      <c r="C719" s="1382"/>
      <c r="D719" s="1382"/>
      <c r="E719" s="1382"/>
      <c r="F719" s="1383"/>
      <c r="G719" s="1396">
        <v>7</v>
      </c>
      <c r="H719" s="1397"/>
      <c r="I719" s="1397"/>
      <c r="J719" s="1398"/>
      <c r="K719" s="1393">
        <v>716</v>
      </c>
      <c r="L719" s="1394"/>
      <c r="M719" s="1394"/>
      <c r="N719" s="1395"/>
      <c r="O719" s="1390">
        <v>1080</v>
      </c>
      <c r="P719" s="1391"/>
      <c r="Q719" s="1391"/>
      <c r="R719" s="1391"/>
      <c r="S719" s="1392"/>
      <c r="T719" s="1390">
        <v>60</v>
      </c>
      <c r="U719" s="1391"/>
      <c r="V719" s="1391"/>
      <c r="W719" s="1392"/>
      <c r="X719" s="1387">
        <f t="shared" si="49"/>
        <v>1140</v>
      </c>
      <c r="Y719" s="1388"/>
      <c r="Z719" s="1388"/>
      <c r="AA719" s="1388"/>
      <c r="AB719" s="1389"/>
      <c r="AC719" s="1384">
        <v>0.5</v>
      </c>
      <c r="AD719" s="1385"/>
      <c r="AE719" s="1385"/>
      <c r="AF719" s="1385"/>
      <c r="AG719" s="1386"/>
      <c r="AH719" s="1399">
        <f t="shared" si="50"/>
        <v>0.5</v>
      </c>
      <c r="AI719" s="1400"/>
      <c r="AJ719" s="1401"/>
      <c r="AK719" s="1381" t="s">
        <v>600</v>
      </c>
      <c r="AL719" s="1382"/>
      <c r="AM719" s="1382"/>
      <c r="AN719" s="1382"/>
      <c r="AO719" s="138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1" t="s">
        <v>164</v>
      </c>
      <c r="C720" s="1382"/>
      <c r="D720" s="1382"/>
      <c r="E720" s="1382"/>
      <c r="F720" s="1383"/>
      <c r="G720" s="1396">
        <v>11</v>
      </c>
      <c r="H720" s="1397"/>
      <c r="I720" s="1397"/>
      <c r="J720" s="1398"/>
      <c r="K720" s="1393">
        <v>716</v>
      </c>
      <c r="L720" s="1394"/>
      <c r="M720" s="1394"/>
      <c r="N720" s="1395"/>
      <c r="O720" s="1390">
        <v>1517</v>
      </c>
      <c r="P720" s="1391"/>
      <c r="Q720" s="1391"/>
      <c r="R720" s="1391"/>
      <c r="S720" s="1392"/>
      <c r="T720" s="1390">
        <v>60</v>
      </c>
      <c r="U720" s="1391"/>
      <c r="V720" s="1391"/>
      <c r="W720" s="1392"/>
      <c r="X720" s="1387">
        <f t="shared" si="49"/>
        <v>1577</v>
      </c>
      <c r="Y720" s="1388"/>
      <c r="Z720" s="1388"/>
      <c r="AA720" s="1388"/>
      <c r="AB720" s="1389"/>
      <c r="AC720" s="1384">
        <v>0.7</v>
      </c>
      <c r="AD720" s="1385"/>
      <c r="AE720" s="1385"/>
      <c r="AF720" s="1385"/>
      <c r="AG720" s="1386"/>
      <c r="AH720" s="1399">
        <f t="shared" si="50"/>
        <v>0.69166666666666665</v>
      </c>
      <c r="AI720" s="1400"/>
      <c r="AJ720" s="1401"/>
      <c r="AK720" s="1381" t="s">
        <v>600</v>
      </c>
      <c r="AL720" s="1382"/>
      <c r="AM720" s="1382"/>
      <c r="AN720" s="1382"/>
      <c r="AO720" s="138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1" t="s">
        <v>164</v>
      </c>
      <c r="C721" s="1382"/>
      <c r="D721" s="1382"/>
      <c r="E721" s="1382"/>
      <c r="F721" s="1383"/>
      <c r="G721" s="1396">
        <v>3</v>
      </c>
      <c r="H721" s="1397"/>
      <c r="I721" s="1397"/>
      <c r="J721" s="1398"/>
      <c r="K721" s="1393">
        <v>843</v>
      </c>
      <c r="L721" s="1394"/>
      <c r="M721" s="1394"/>
      <c r="N721" s="1395"/>
      <c r="O721" s="1390">
        <v>624</v>
      </c>
      <c r="P721" s="1391"/>
      <c r="Q721" s="1391"/>
      <c r="R721" s="1391"/>
      <c r="S721" s="1392"/>
      <c r="T721" s="1390">
        <v>60</v>
      </c>
      <c r="U721" s="1391"/>
      <c r="V721" s="1391"/>
      <c r="W721" s="1392"/>
      <c r="X721" s="1387">
        <f t="shared" si="49"/>
        <v>684</v>
      </c>
      <c r="Y721" s="1388"/>
      <c r="Z721" s="1388"/>
      <c r="AA721" s="1388"/>
      <c r="AB721" s="1389"/>
      <c r="AC721" s="1384">
        <v>0.3</v>
      </c>
      <c r="AD721" s="1385"/>
      <c r="AE721" s="1385"/>
      <c r="AF721" s="1385"/>
      <c r="AG721" s="1386"/>
      <c r="AH721" s="1399">
        <f t="shared" si="50"/>
        <v>0.3</v>
      </c>
      <c r="AI721" s="1400"/>
      <c r="AJ721" s="1401"/>
      <c r="AK721" s="1381" t="s">
        <v>600</v>
      </c>
      <c r="AL721" s="1382"/>
      <c r="AM721" s="1382"/>
      <c r="AN721" s="1382"/>
      <c r="AO721" s="138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1" t="s">
        <v>164</v>
      </c>
      <c r="C722" s="1382"/>
      <c r="D722" s="1382"/>
      <c r="E722" s="1382"/>
      <c r="F722" s="1383"/>
      <c r="G722" s="1396">
        <v>10</v>
      </c>
      <c r="H722" s="1397"/>
      <c r="I722" s="1397"/>
      <c r="J722" s="1398"/>
      <c r="K722" s="1393">
        <v>843</v>
      </c>
      <c r="L722" s="1394"/>
      <c r="M722" s="1394"/>
      <c r="N722" s="1395"/>
      <c r="O722" s="1390">
        <v>1080</v>
      </c>
      <c r="P722" s="1391"/>
      <c r="Q722" s="1391"/>
      <c r="R722" s="1391"/>
      <c r="S722" s="1392"/>
      <c r="T722" s="1390">
        <v>60</v>
      </c>
      <c r="U722" s="1391"/>
      <c r="V722" s="1391"/>
      <c r="W722" s="1392"/>
      <c r="X722" s="1387">
        <f t="shared" si="49"/>
        <v>1140</v>
      </c>
      <c r="Y722" s="1388"/>
      <c r="Z722" s="1388"/>
      <c r="AA722" s="1388"/>
      <c r="AB722" s="1389"/>
      <c r="AC722" s="1384">
        <v>0.5</v>
      </c>
      <c r="AD722" s="1385"/>
      <c r="AE722" s="1385"/>
      <c r="AF722" s="1385"/>
      <c r="AG722" s="1386"/>
      <c r="AH722" s="1399">
        <f t="shared" si="50"/>
        <v>0.5</v>
      </c>
      <c r="AI722" s="1400"/>
      <c r="AJ722" s="1401"/>
      <c r="AK722" s="1381" t="s">
        <v>600</v>
      </c>
      <c r="AL722" s="1382"/>
      <c r="AM722" s="1382"/>
      <c r="AN722" s="1382"/>
      <c r="AO722" s="138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1" t="s">
        <v>164</v>
      </c>
      <c r="C723" s="1382"/>
      <c r="D723" s="1382"/>
      <c r="E723" s="1382"/>
      <c r="F723" s="1383"/>
      <c r="G723" s="1396">
        <v>12</v>
      </c>
      <c r="H723" s="1397"/>
      <c r="I723" s="1397"/>
      <c r="J723" s="1398"/>
      <c r="K723" s="1393">
        <v>843</v>
      </c>
      <c r="L723" s="1394"/>
      <c r="M723" s="1394"/>
      <c r="N723" s="1395"/>
      <c r="O723" s="1390">
        <v>1536</v>
      </c>
      <c r="P723" s="1391"/>
      <c r="Q723" s="1391"/>
      <c r="R723" s="1391"/>
      <c r="S723" s="1392"/>
      <c r="T723" s="1390">
        <v>60</v>
      </c>
      <c r="U723" s="1391"/>
      <c r="V723" s="1391"/>
      <c r="W723" s="1392"/>
      <c r="X723" s="1387">
        <f t="shared" si="49"/>
        <v>1596</v>
      </c>
      <c r="Y723" s="1388"/>
      <c r="Z723" s="1388"/>
      <c r="AA723" s="1388"/>
      <c r="AB723" s="1389"/>
      <c r="AC723" s="1384">
        <v>0.7</v>
      </c>
      <c r="AD723" s="1385"/>
      <c r="AE723" s="1385"/>
      <c r="AF723" s="1385"/>
      <c r="AG723" s="1386"/>
      <c r="AH723" s="1399">
        <f t="shared" si="50"/>
        <v>0.7</v>
      </c>
      <c r="AI723" s="1400"/>
      <c r="AJ723" s="1401"/>
      <c r="AK723" s="1381" t="s">
        <v>600</v>
      </c>
      <c r="AL723" s="1382"/>
      <c r="AM723" s="1382"/>
      <c r="AN723" s="1382"/>
      <c r="AO723" s="138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1" t="s">
        <v>164</v>
      </c>
      <c r="C724" s="1382"/>
      <c r="D724" s="1382"/>
      <c r="E724" s="1382"/>
      <c r="F724" s="1383"/>
      <c r="G724" s="1396">
        <v>1</v>
      </c>
      <c r="H724" s="1397"/>
      <c r="I724" s="1397"/>
      <c r="J724" s="1398"/>
      <c r="K724" s="1393">
        <v>843</v>
      </c>
      <c r="L724" s="1394"/>
      <c r="M724" s="1394"/>
      <c r="N724" s="1395"/>
      <c r="O724" s="1390">
        <v>1764</v>
      </c>
      <c r="P724" s="1391"/>
      <c r="Q724" s="1391"/>
      <c r="R724" s="1391"/>
      <c r="S724" s="1392"/>
      <c r="T724" s="1390">
        <v>60</v>
      </c>
      <c r="U724" s="1391"/>
      <c r="V724" s="1391"/>
      <c r="W724" s="1392"/>
      <c r="X724" s="1387">
        <f t="shared" si="49"/>
        <v>1824</v>
      </c>
      <c r="Y724" s="1388"/>
      <c r="Z724" s="1388"/>
      <c r="AA724" s="1388"/>
      <c r="AB724" s="1389"/>
      <c r="AC724" s="1384">
        <v>0.8</v>
      </c>
      <c r="AD724" s="1385"/>
      <c r="AE724" s="1385"/>
      <c r="AF724" s="1385"/>
      <c r="AG724" s="1386"/>
      <c r="AH724" s="1399">
        <f t="shared" si="50"/>
        <v>0.8</v>
      </c>
      <c r="AI724" s="1400"/>
      <c r="AJ724" s="1401"/>
      <c r="AK724" s="1381" t="s">
        <v>600</v>
      </c>
      <c r="AL724" s="1382"/>
      <c r="AM724" s="1382"/>
      <c r="AN724" s="1382"/>
      <c r="AO724" s="138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1" t="s">
        <v>165</v>
      </c>
      <c r="C725" s="1382"/>
      <c r="D725" s="1382"/>
      <c r="E725" s="1382"/>
      <c r="F725" s="1383"/>
      <c r="G725" s="1396">
        <v>3</v>
      </c>
      <c r="H725" s="1397"/>
      <c r="I725" s="1397"/>
      <c r="J725" s="1398"/>
      <c r="K725" s="1393">
        <v>976</v>
      </c>
      <c r="L725" s="1394"/>
      <c r="M725" s="1394"/>
      <c r="N725" s="1395"/>
      <c r="O725" s="1390">
        <v>720</v>
      </c>
      <c r="P725" s="1391"/>
      <c r="Q725" s="1391"/>
      <c r="R725" s="1391"/>
      <c r="S725" s="1392"/>
      <c r="T725" s="1390">
        <v>70</v>
      </c>
      <c r="U725" s="1391"/>
      <c r="V725" s="1391"/>
      <c r="W725" s="1392"/>
      <c r="X725" s="1387">
        <f t="shared" si="49"/>
        <v>790</v>
      </c>
      <c r="Y725" s="1388"/>
      <c r="Z725" s="1388"/>
      <c r="AA725" s="1388"/>
      <c r="AB725" s="1389"/>
      <c r="AC725" s="1384">
        <v>0.3</v>
      </c>
      <c r="AD725" s="1385"/>
      <c r="AE725" s="1385"/>
      <c r="AF725" s="1385"/>
      <c r="AG725" s="1386"/>
      <c r="AH725" s="1399">
        <f t="shared" si="50"/>
        <v>0.29992406985573272</v>
      </c>
      <c r="AI725" s="1400"/>
      <c r="AJ725" s="1401"/>
      <c r="AK725" s="1381" t="s">
        <v>600</v>
      </c>
      <c r="AL725" s="1382"/>
      <c r="AM725" s="1382"/>
      <c r="AN725" s="1382"/>
      <c r="AO725" s="138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1" t="s">
        <v>165</v>
      </c>
      <c r="C726" s="1382"/>
      <c r="D726" s="1382"/>
      <c r="E726" s="1382"/>
      <c r="F726" s="1383"/>
      <c r="G726" s="1396">
        <v>10</v>
      </c>
      <c r="H726" s="1397"/>
      <c r="I726" s="1397"/>
      <c r="J726" s="1398"/>
      <c r="K726" s="1393">
        <v>976</v>
      </c>
      <c r="L726" s="1394"/>
      <c r="M726" s="1394"/>
      <c r="N726" s="1395"/>
      <c r="O726" s="1390">
        <v>1247</v>
      </c>
      <c r="P726" s="1391"/>
      <c r="Q726" s="1391"/>
      <c r="R726" s="1391"/>
      <c r="S726" s="1392"/>
      <c r="T726" s="1390">
        <v>70</v>
      </c>
      <c r="U726" s="1391"/>
      <c r="V726" s="1391"/>
      <c r="W726" s="1392"/>
      <c r="X726" s="1387">
        <f t="shared" si="49"/>
        <v>1317</v>
      </c>
      <c r="Y726" s="1388"/>
      <c r="Z726" s="1388"/>
      <c r="AA726" s="1388"/>
      <c r="AB726" s="1389"/>
      <c r="AC726" s="1384">
        <v>0.5</v>
      </c>
      <c r="AD726" s="1385"/>
      <c r="AE726" s="1385"/>
      <c r="AF726" s="1385"/>
      <c r="AG726" s="1386"/>
      <c r="AH726" s="1399">
        <f t="shared" si="50"/>
        <v>0.5</v>
      </c>
      <c r="AI726" s="1400"/>
      <c r="AJ726" s="1401"/>
      <c r="AK726" s="1381" t="s">
        <v>600</v>
      </c>
      <c r="AL726" s="1382"/>
      <c r="AM726" s="1382"/>
      <c r="AN726" s="1382"/>
      <c r="AO726" s="138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1" t="s">
        <v>165</v>
      </c>
      <c r="C727" s="1382"/>
      <c r="D727" s="1382"/>
      <c r="E727" s="1382"/>
      <c r="F727" s="1383"/>
      <c r="G727" s="1396">
        <v>15</v>
      </c>
      <c r="H727" s="1397"/>
      <c r="I727" s="1397"/>
      <c r="J727" s="1398"/>
      <c r="K727" s="1393">
        <v>976</v>
      </c>
      <c r="L727" s="1394"/>
      <c r="M727" s="1394"/>
      <c r="N727" s="1395"/>
      <c r="O727" s="1390">
        <v>1774</v>
      </c>
      <c r="P727" s="1391"/>
      <c r="Q727" s="1391"/>
      <c r="R727" s="1391"/>
      <c r="S727" s="1392"/>
      <c r="T727" s="1390">
        <v>70</v>
      </c>
      <c r="U727" s="1391"/>
      <c r="V727" s="1391"/>
      <c r="W727" s="1392"/>
      <c r="X727" s="1387">
        <f t="shared" si="49"/>
        <v>1844</v>
      </c>
      <c r="Y727" s="1388"/>
      <c r="Z727" s="1388"/>
      <c r="AA727" s="1388"/>
      <c r="AB727" s="1389"/>
      <c r="AC727" s="1384">
        <v>0.7</v>
      </c>
      <c r="AD727" s="1385"/>
      <c r="AE727" s="1385"/>
      <c r="AF727" s="1385"/>
      <c r="AG727" s="1386"/>
      <c r="AH727" s="1399">
        <f t="shared" si="50"/>
        <v>0.70007593014426728</v>
      </c>
      <c r="AI727" s="1400"/>
      <c r="AJ727" s="1401"/>
      <c r="AK727" s="1381" t="s">
        <v>600</v>
      </c>
      <c r="AL727" s="1382"/>
      <c r="AM727" s="1382"/>
      <c r="AN727" s="1382"/>
      <c r="AO727" s="138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1" t="s">
        <v>165</v>
      </c>
      <c r="C728" s="1382"/>
      <c r="D728" s="1382"/>
      <c r="E728" s="1382"/>
      <c r="F728" s="1383"/>
      <c r="G728" s="1396">
        <v>1</v>
      </c>
      <c r="H728" s="1397"/>
      <c r="I728" s="1397"/>
      <c r="J728" s="1398"/>
      <c r="K728" s="1393">
        <v>976</v>
      </c>
      <c r="L728" s="1394"/>
      <c r="M728" s="1394"/>
      <c r="N728" s="1395"/>
      <c r="O728" s="1390">
        <v>1991</v>
      </c>
      <c r="P728" s="1391"/>
      <c r="Q728" s="1391"/>
      <c r="R728" s="1391"/>
      <c r="S728" s="1392"/>
      <c r="T728" s="1390">
        <v>70</v>
      </c>
      <c r="U728" s="1391"/>
      <c r="V728" s="1391"/>
      <c r="W728" s="1392"/>
      <c r="X728" s="1387">
        <f t="shared" si="49"/>
        <v>2061</v>
      </c>
      <c r="Y728" s="1388"/>
      <c r="Z728" s="1388"/>
      <c r="AA728" s="1388"/>
      <c r="AB728" s="1389"/>
      <c r="AC728" s="1384">
        <v>0.8</v>
      </c>
      <c r="AD728" s="1385"/>
      <c r="AE728" s="1385"/>
      <c r="AF728" s="1385"/>
      <c r="AG728" s="1386"/>
      <c r="AH728" s="1399">
        <f t="shared" si="50"/>
        <v>0.78246013667425973</v>
      </c>
      <c r="AI728" s="1400"/>
      <c r="AJ728" s="1401"/>
      <c r="AK728" s="1381" t="s">
        <v>600</v>
      </c>
      <c r="AL728" s="1382"/>
      <c r="AM728" s="1382"/>
      <c r="AN728" s="1382"/>
      <c r="AO728" s="138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1"/>
      <c r="C729" s="1382"/>
      <c r="D729" s="1382"/>
      <c r="E729" s="1382"/>
      <c r="F729" s="1383"/>
      <c r="G729" s="1396"/>
      <c r="H729" s="1397"/>
      <c r="I729" s="1397"/>
      <c r="J729" s="1398"/>
      <c r="K729" s="1393"/>
      <c r="L729" s="1394"/>
      <c r="M729" s="1394"/>
      <c r="N729" s="1395"/>
      <c r="O729" s="1390"/>
      <c r="P729" s="1391"/>
      <c r="Q729" s="1391"/>
      <c r="R729" s="1391"/>
      <c r="S729" s="1392"/>
      <c r="T729" s="1390"/>
      <c r="U729" s="1391"/>
      <c r="V729" s="1391"/>
      <c r="W729" s="1392"/>
      <c r="X729" s="1387">
        <f t="shared" si="49"/>
        <v>0</v>
      </c>
      <c r="Y729" s="1388"/>
      <c r="Z729" s="1388"/>
      <c r="AA729" s="1388"/>
      <c r="AB729" s="1389"/>
      <c r="AC729" s="1384">
        <v>0</v>
      </c>
      <c r="AD729" s="1385"/>
      <c r="AE729" s="1385"/>
      <c r="AF729" s="1385"/>
      <c r="AG729" s="1386"/>
      <c r="AH729" s="1399" t="str">
        <f t="shared" si="50"/>
        <v xml:space="preserve"> </v>
      </c>
      <c r="AI729" s="1400"/>
      <c r="AJ729" s="1401"/>
      <c r="AK729" s="1381" t="s">
        <v>600</v>
      </c>
      <c r="AL729" s="1382"/>
      <c r="AM729" s="1382"/>
      <c r="AN729" s="1382"/>
      <c r="AO729" s="138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1"/>
      <c r="C730" s="1382"/>
      <c r="D730" s="1382"/>
      <c r="E730" s="1382"/>
      <c r="F730" s="1383"/>
      <c r="G730" s="1396"/>
      <c r="H730" s="1397"/>
      <c r="I730" s="1397"/>
      <c r="J730" s="1398"/>
      <c r="K730" s="1393"/>
      <c r="L730" s="1394"/>
      <c r="M730" s="1394"/>
      <c r="N730" s="1395"/>
      <c r="O730" s="1390"/>
      <c r="P730" s="1391"/>
      <c r="Q730" s="1391"/>
      <c r="R730" s="1391"/>
      <c r="S730" s="1392"/>
      <c r="T730" s="1390"/>
      <c r="U730" s="1391"/>
      <c r="V730" s="1391"/>
      <c r="W730" s="1392"/>
      <c r="X730" s="1387">
        <f t="shared" si="49"/>
        <v>0</v>
      </c>
      <c r="Y730" s="1388"/>
      <c r="Z730" s="1388"/>
      <c r="AA730" s="1388"/>
      <c r="AB730" s="1389"/>
      <c r="AC730" s="1384">
        <v>0</v>
      </c>
      <c r="AD730" s="1385"/>
      <c r="AE730" s="1385"/>
      <c r="AF730" s="1385"/>
      <c r="AG730" s="1386"/>
      <c r="AH730" s="1399" t="str">
        <f t="shared" si="50"/>
        <v xml:space="preserve"> </v>
      </c>
      <c r="AI730" s="1400"/>
      <c r="AJ730" s="1401"/>
      <c r="AK730" s="1381" t="s">
        <v>600</v>
      </c>
      <c r="AL730" s="1382"/>
      <c r="AM730" s="1382"/>
      <c r="AN730" s="1382"/>
      <c r="AO730" s="138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1"/>
      <c r="C731" s="1382"/>
      <c r="D731" s="1382"/>
      <c r="E731" s="1382"/>
      <c r="F731" s="1383"/>
      <c r="G731" s="1396"/>
      <c r="H731" s="1397"/>
      <c r="I731" s="1397"/>
      <c r="J731" s="1398"/>
      <c r="K731" s="1393"/>
      <c r="L731" s="1394"/>
      <c r="M731" s="1394"/>
      <c r="N731" s="1395"/>
      <c r="O731" s="1390"/>
      <c r="P731" s="1391"/>
      <c r="Q731" s="1391"/>
      <c r="R731" s="1391"/>
      <c r="S731" s="1392"/>
      <c r="T731" s="1390"/>
      <c r="U731" s="1391"/>
      <c r="V731" s="1391"/>
      <c r="W731" s="1392"/>
      <c r="X731" s="1387">
        <f t="shared" si="49"/>
        <v>0</v>
      </c>
      <c r="Y731" s="1388"/>
      <c r="Z731" s="1388"/>
      <c r="AA731" s="1388"/>
      <c r="AB731" s="1389"/>
      <c r="AC731" s="1384">
        <v>0</v>
      </c>
      <c r="AD731" s="1385"/>
      <c r="AE731" s="1385"/>
      <c r="AF731" s="1385"/>
      <c r="AG731" s="1386"/>
      <c r="AH731" s="1399" t="str">
        <f t="shared" si="50"/>
        <v xml:space="preserve"> </v>
      </c>
      <c r="AI731" s="1400"/>
      <c r="AJ731" s="1401"/>
      <c r="AK731" s="1381" t="s">
        <v>600</v>
      </c>
      <c r="AL731" s="1382"/>
      <c r="AM731" s="1382"/>
      <c r="AN731" s="1382"/>
      <c r="AO731" s="138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1"/>
      <c r="C732" s="1382"/>
      <c r="D732" s="1382"/>
      <c r="E732" s="1382"/>
      <c r="F732" s="1383"/>
      <c r="G732" s="1396"/>
      <c r="H732" s="1397"/>
      <c r="I732" s="1397"/>
      <c r="J732" s="1398"/>
      <c r="K732" s="1393"/>
      <c r="L732" s="1394"/>
      <c r="M732" s="1394"/>
      <c r="N732" s="1395"/>
      <c r="O732" s="1390"/>
      <c r="P732" s="1391"/>
      <c r="Q732" s="1391"/>
      <c r="R732" s="1391"/>
      <c r="S732" s="1392"/>
      <c r="T732" s="1390"/>
      <c r="U732" s="1391"/>
      <c r="V732" s="1391"/>
      <c r="W732" s="1392"/>
      <c r="X732" s="1387">
        <f t="shared" si="49"/>
        <v>0</v>
      </c>
      <c r="Y732" s="1388"/>
      <c r="Z732" s="1388"/>
      <c r="AA732" s="1388"/>
      <c r="AB732" s="1389"/>
      <c r="AC732" s="1384">
        <v>0</v>
      </c>
      <c r="AD732" s="1385"/>
      <c r="AE732" s="1385"/>
      <c r="AF732" s="1385"/>
      <c r="AG732" s="1386"/>
      <c r="AH732" s="1399" t="str">
        <f t="shared" si="50"/>
        <v xml:space="preserve"> </v>
      </c>
      <c r="AI732" s="1400"/>
      <c r="AJ732" s="1401"/>
      <c r="AK732" s="1381" t="s">
        <v>600</v>
      </c>
      <c r="AL732" s="1382"/>
      <c r="AM732" s="1382"/>
      <c r="AN732" s="1382"/>
      <c r="AO732" s="138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1"/>
      <c r="C733" s="1382"/>
      <c r="D733" s="1382"/>
      <c r="E733" s="1382"/>
      <c r="F733" s="1383"/>
      <c r="G733" s="1396"/>
      <c r="H733" s="1397"/>
      <c r="I733" s="1397"/>
      <c r="J733" s="1398"/>
      <c r="K733" s="1393"/>
      <c r="L733" s="1394"/>
      <c r="M733" s="1394"/>
      <c r="N733" s="1395"/>
      <c r="O733" s="1390"/>
      <c r="P733" s="1391"/>
      <c r="Q733" s="1391"/>
      <c r="R733" s="1391"/>
      <c r="S733" s="1392"/>
      <c r="T733" s="1390"/>
      <c r="U733" s="1391"/>
      <c r="V733" s="1391"/>
      <c r="W733" s="1392"/>
      <c r="X733" s="1387">
        <f t="shared" si="49"/>
        <v>0</v>
      </c>
      <c r="Y733" s="1388"/>
      <c r="Z733" s="1388"/>
      <c r="AA733" s="1388"/>
      <c r="AB733" s="1389"/>
      <c r="AC733" s="1384">
        <v>0</v>
      </c>
      <c r="AD733" s="1385"/>
      <c r="AE733" s="1385"/>
      <c r="AF733" s="1385"/>
      <c r="AG733" s="1386"/>
      <c r="AH733" s="1399" t="str">
        <f t="shared" si="50"/>
        <v xml:space="preserve"> </v>
      </c>
      <c r="AI733" s="1400"/>
      <c r="AJ733" s="1401"/>
      <c r="AK733" s="1381" t="s">
        <v>600</v>
      </c>
      <c r="AL733" s="1382"/>
      <c r="AM733" s="1382"/>
      <c r="AN733" s="1382"/>
      <c r="AO733" s="138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1"/>
      <c r="C734" s="1382"/>
      <c r="D734" s="1382"/>
      <c r="E734" s="1382"/>
      <c r="F734" s="1383"/>
      <c r="G734" s="1396"/>
      <c r="H734" s="1397"/>
      <c r="I734" s="1397"/>
      <c r="J734" s="1398"/>
      <c r="K734" s="1393"/>
      <c r="L734" s="1394"/>
      <c r="M734" s="1394"/>
      <c r="N734" s="1395"/>
      <c r="O734" s="1390"/>
      <c r="P734" s="1391"/>
      <c r="Q734" s="1391"/>
      <c r="R734" s="1391"/>
      <c r="S734" s="1392"/>
      <c r="T734" s="1390"/>
      <c r="U734" s="1391"/>
      <c r="V734" s="1391"/>
      <c r="W734" s="1392"/>
      <c r="X734" s="1387">
        <f t="shared" si="49"/>
        <v>0</v>
      </c>
      <c r="Y734" s="1388"/>
      <c r="Z734" s="1388"/>
      <c r="AA734" s="1388"/>
      <c r="AB734" s="1389"/>
      <c r="AC734" s="1384">
        <v>0</v>
      </c>
      <c r="AD734" s="1385"/>
      <c r="AE734" s="1385"/>
      <c r="AF734" s="1385"/>
      <c r="AG734" s="1386"/>
      <c r="AH734" s="1399" t="str">
        <f t="shared" si="50"/>
        <v xml:space="preserve"> </v>
      </c>
      <c r="AI734" s="1400"/>
      <c r="AJ734" s="1401"/>
      <c r="AK734" s="1381" t="s">
        <v>600</v>
      </c>
      <c r="AL734" s="1382"/>
      <c r="AM734" s="1382"/>
      <c r="AN734" s="1382"/>
      <c r="AO734" s="138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1"/>
      <c r="C735" s="1382"/>
      <c r="D735" s="1382"/>
      <c r="E735" s="1382"/>
      <c r="F735" s="1383"/>
      <c r="G735" s="1396"/>
      <c r="H735" s="1397"/>
      <c r="I735" s="1397"/>
      <c r="J735" s="1398"/>
      <c r="K735" s="1393"/>
      <c r="L735" s="1394"/>
      <c r="M735" s="1394"/>
      <c r="N735" s="1395"/>
      <c r="O735" s="1390"/>
      <c r="P735" s="1391"/>
      <c r="Q735" s="1391"/>
      <c r="R735" s="1391"/>
      <c r="S735" s="1392"/>
      <c r="T735" s="1390"/>
      <c r="U735" s="1391"/>
      <c r="V735" s="1391"/>
      <c r="W735" s="1392"/>
      <c r="X735" s="1387">
        <f t="shared" si="49"/>
        <v>0</v>
      </c>
      <c r="Y735" s="1388"/>
      <c r="Z735" s="1388"/>
      <c r="AA735" s="1388"/>
      <c r="AB735" s="1389"/>
      <c r="AC735" s="1384">
        <v>0</v>
      </c>
      <c r="AD735" s="1385"/>
      <c r="AE735" s="1385"/>
      <c r="AF735" s="1385"/>
      <c r="AG735" s="1386"/>
      <c r="AH735" s="1399" t="str">
        <f t="shared" si="50"/>
        <v xml:space="preserve"> </v>
      </c>
      <c r="AI735" s="1400"/>
      <c r="AJ735" s="1401"/>
      <c r="AK735" s="1381" t="s">
        <v>600</v>
      </c>
      <c r="AL735" s="1382"/>
      <c r="AM735" s="1382"/>
      <c r="AN735" s="1382"/>
      <c r="AO735" s="138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1"/>
      <c r="C736" s="1382"/>
      <c r="D736" s="1382"/>
      <c r="E736" s="1382"/>
      <c r="F736" s="1383"/>
      <c r="G736" s="1396"/>
      <c r="H736" s="1397"/>
      <c r="I736" s="1397"/>
      <c r="J736" s="1398"/>
      <c r="K736" s="1393"/>
      <c r="L736" s="1394"/>
      <c r="M736" s="1394"/>
      <c r="N736" s="1395"/>
      <c r="O736" s="1390"/>
      <c r="P736" s="1391"/>
      <c r="Q736" s="1391"/>
      <c r="R736" s="1391"/>
      <c r="S736" s="1392"/>
      <c r="T736" s="1390"/>
      <c r="U736" s="1391"/>
      <c r="V736" s="1391"/>
      <c r="W736" s="1392"/>
      <c r="X736" s="1387">
        <f t="shared" si="49"/>
        <v>0</v>
      </c>
      <c r="Y736" s="1388"/>
      <c r="Z736" s="1388"/>
      <c r="AA736" s="1388"/>
      <c r="AB736" s="1389"/>
      <c r="AC736" s="1384">
        <v>0</v>
      </c>
      <c r="AD736" s="1385"/>
      <c r="AE736" s="1385"/>
      <c r="AF736" s="1385"/>
      <c r="AG736" s="1386"/>
      <c r="AH736" s="1399" t="str">
        <f t="shared" si="50"/>
        <v xml:space="preserve"> </v>
      </c>
      <c r="AI736" s="1400"/>
      <c r="AJ736" s="1401"/>
      <c r="AK736" s="1381" t="s">
        <v>600</v>
      </c>
      <c r="AL736" s="1382"/>
      <c r="AM736" s="1382"/>
      <c r="AN736" s="1382"/>
      <c r="AO736" s="138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1"/>
      <c r="C737" s="1382"/>
      <c r="D737" s="1382"/>
      <c r="E737" s="1382"/>
      <c r="F737" s="1383"/>
      <c r="G737" s="1396"/>
      <c r="H737" s="1397"/>
      <c r="I737" s="1397"/>
      <c r="J737" s="1398"/>
      <c r="K737" s="1393"/>
      <c r="L737" s="1394"/>
      <c r="M737" s="1394"/>
      <c r="N737" s="1395"/>
      <c r="O737" s="1390"/>
      <c r="P737" s="1391"/>
      <c r="Q737" s="1391"/>
      <c r="R737" s="1391"/>
      <c r="S737" s="1392"/>
      <c r="T737" s="1390"/>
      <c r="U737" s="1391"/>
      <c r="V737" s="1391"/>
      <c r="W737" s="1392"/>
      <c r="X737" s="1387">
        <f t="shared" si="49"/>
        <v>0</v>
      </c>
      <c r="Y737" s="1388"/>
      <c r="Z737" s="1388"/>
      <c r="AA737" s="1388"/>
      <c r="AB737" s="1389"/>
      <c r="AC737" s="1384">
        <v>0</v>
      </c>
      <c r="AD737" s="1385"/>
      <c r="AE737" s="1385"/>
      <c r="AF737" s="1385"/>
      <c r="AG737" s="1386"/>
      <c r="AH737" s="1399" t="str">
        <f t="shared" si="50"/>
        <v xml:space="preserve"> </v>
      </c>
      <c r="AI737" s="1400"/>
      <c r="AJ737" s="1401"/>
      <c r="AK737" s="1381" t="s">
        <v>600</v>
      </c>
      <c r="AL737" s="1382"/>
      <c r="AM737" s="1382"/>
      <c r="AN737" s="1382"/>
      <c r="AO737" s="1383"/>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1"/>
      <c r="C738" s="1382"/>
      <c r="D738" s="1382"/>
      <c r="E738" s="1382"/>
      <c r="F738" s="1383"/>
      <c r="G738" s="1396"/>
      <c r="H738" s="1397"/>
      <c r="I738" s="1397"/>
      <c r="J738" s="1398"/>
      <c r="K738" s="1393"/>
      <c r="L738" s="1394"/>
      <c r="M738" s="1394"/>
      <c r="N738" s="1395"/>
      <c r="O738" s="1390"/>
      <c r="P738" s="1391"/>
      <c r="Q738" s="1391"/>
      <c r="R738" s="1391"/>
      <c r="S738" s="1392"/>
      <c r="T738" s="1390"/>
      <c r="U738" s="1391"/>
      <c r="V738" s="1391"/>
      <c r="W738" s="1392"/>
      <c r="X738" s="1387">
        <f t="shared" si="49"/>
        <v>0</v>
      </c>
      <c r="Y738" s="1388"/>
      <c r="Z738" s="1388"/>
      <c r="AA738" s="1388"/>
      <c r="AB738" s="1389"/>
      <c r="AC738" s="1384">
        <v>0</v>
      </c>
      <c r="AD738" s="1385"/>
      <c r="AE738" s="1385"/>
      <c r="AF738" s="1385"/>
      <c r="AG738" s="1386"/>
      <c r="AH738" s="1399" t="str">
        <f t="shared" si="50"/>
        <v xml:space="preserve"> </v>
      </c>
      <c r="AI738" s="1400"/>
      <c r="AJ738" s="1401"/>
      <c r="AK738" s="1381" t="s">
        <v>600</v>
      </c>
      <c r="AL738" s="1382"/>
      <c r="AM738" s="1382"/>
      <c r="AN738" s="1382"/>
      <c r="AO738" s="1383"/>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4" t="s">
        <v>126</v>
      </c>
      <c r="C739" s="1575"/>
      <c r="D739" s="1575"/>
      <c r="E739" s="1575"/>
      <c r="F739" s="1576"/>
      <c r="G739" s="1571">
        <f>SUM(G714:J738)</f>
        <v>115</v>
      </c>
      <c r="H739" s="1572"/>
      <c r="I739" s="1572"/>
      <c r="J739" s="1573"/>
      <c r="K739" s="939" t="s">
        <v>125</v>
      </c>
      <c r="L739" s="5"/>
      <c r="M739" s="5"/>
      <c r="N739" s="46"/>
      <c r="O739" s="1387">
        <f>SUMPRODUCT(G714:G738,O714:O738)</f>
        <v>144665</v>
      </c>
      <c r="P739" s="1388"/>
      <c r="Q739" s="1388"/>
      <c r="R739" s="1388"/>
      <c r="S739" s="1389"/>
      <c r="X739" s="941" t="s">
        <v>933</v>
      </c>
      <c r="Y739" s="940"/>
      <c r="Z739" s="940"/>
      <c r="AA739" s="940"/>
      <c r="AB739" s="942"/>
      <c r="AC739" s="1577">
        <f>BI682</f>
        <v>0.5895652173913043</v>
      </c>
      <c r="AD739" s="1578"/>
      <c r="AE739" s="1578"/>
      <c r="AF739" s="1578"/>
      <c r="AG739" s="1579"/>
      <c r="AH739" s="1577">
        <f>BI714</f>
        <v>0.58862809519589798</v>
      </c>
      <c r="AI739" s="1578"/>
      <c r="AJ739" s="1579"/>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98" t="s">
        <v>2257</v>
      </c>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426">
        <f>CS623</f>
        <v>219</v>
      </c>
      <c r="P742" s="1426"/>
      <c r="Q742" s="1426"/>
      <c r="R742" s="1426"/>
      <c r="S742" s="1006"/>
      <c r="T742" s="1006"/>
      <c r="U742" s="118" t="s">
        <v>2256</v>
      </c>
      <c r="V742" s="1076"/>
      <c r="W742" s="1076"/>
      <c r="X742" s="1076"/>
      <c r="Y742" s="1077"/>
      <c r="Z742" s="1077"/>
      <c r="AA742" s="1077"/>
      <c r="AB742" s="1077"/>
      <c r="AC742" s="1076"/>
      <c r="AD742" s="1076"/>
      <c r="AE742" s="1076"/>
      <c r="AF742" s="1076"/>
      <c r="AG742" s="1680"/>
      <c r="AH742" s="1680"/>
      <c r="AI742" s="1680"/>
      <c r="AJ742" s="1680"/>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99" t="s">
        <v>600</v>
      </c>
      <c r="AE744" s="1799"/>
      <c r="AF744" s="1799"/>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2512</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2513</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586" t="s">
        <v>390</v>
      </c>
      <c r="K754" s="1406"/>
      <c r="L754" s="1406"/>
      <c r="M754" s="1406"/>
      <c r="N754" s="1407"/>
      <c r="O754" s="1668" t="s">
        <v>286</v>
      </c>
      <c r="P754" s="1668"/>
      <c r="Q754" s="1668"/>
      <c r="R754" s="1668"/>
      <c r="S754" s="1668"/>
      <c r="T754" s="1625" t="s">
        <v>1938</v>
      </c>
      <c r="U754" s="1626"/>
      <c r="V754" s="1626"/>
      <c r="W754" s="1627"/>
      <c r="X754" s="1586" t="s">
        <v>456</v>
      </c>
      <c r="Y754" s="1406"/>
      <c r="Z754" s="1406"/>
      <c r="AA754" s="1406"/>
      <c r="AB754" s="1407"/>
      <c r="AC754" s="1586" t="s">
        <v>287</v>
      </c>
      <c r="AD754" s="1406"/>
      <c r="AE754" s="1406"/>
      <c r="AF754" s="1406"/>
      <c r="AG754" s="140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8"/>
      <c r="K755" s="1409"/>
      <c r="L755" s="1409"/>
      <c r="M755" s="1409"/>
      <c r="N755" s="1410"/>
      <c r="O755" s="1668"/>
      <c r="P755" s="1668"/>
      <c r="Q755" s="1668"/>
      <c r="R755" s="1668"/>
      <c r="S755" s="1668"/>
      <c r="T755" s="1628"/>
      <c r="U755" s="1629"/>
      <c r="V755" s="1629"/>
      <c r="W755" s="1630"/>
      <c r="X755" s="1408"/>
      <c r="Y755" s="1409"/>
      <c r="Z755" s="1409"/>
      <c r="AA755" s="1409"/>
      <c r="AB755" s="1410"/>
      <c r="AC755" s="1408"/>
      <c r="AD755" s="1409"/>
      <c r="AE755" s="1409"/>
      <c r="AF755" s="1409"/>
      <c r="AG755" s="141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8"/>
      <c r="K756" s="1409"/>
      <c r="L756" s="1409"/>
      <c r="M756" s="1409"/>
      <c r="N756" s="1410"/>
      <c r="O756" s="1668"/>
      <c r="P756" s="1668"/>
      <c r="Q756" s="1668"/>
      <c r="R756" s="1668"/>
      <c r="S756" s="1668"/>
      <c r="T756" s="1628"/>
      <c r="U756" s="1629"/>
      <c r="V756" s="1629"/>
      <c r="W756" s="1630"/>
      <c r="X756" s="1408"/>
      <c r="Y756" s="1409"/>
      <c r="Z756" s="1409"/>
      <c r="AA756" s="1409"/>
      <c r="AB756" s="1410"/>
      <c r="AC756" s="1408"/>
      <c r="AD756" s="1409"/>
      <c r="AE756" s="1409"/>
      <c r="AF756" s="1409"/>
      <c r="AG756" s="141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11"/>
      <c r="K757" s="1412"/>
      <c r="L757" s="1412"/>
      <c r="M757" s="1412"/>
      <c r="N757" s="1413"/>
      <c r="O757" s="1668"/>
      <c r="P757" s="1668"/>
      <c r="Q757" s="1668"/>
      <c r="R757" s="1668"/>
      <c r="S757" s="1668"/>
      <c r="T757" s="1717"/>
      <c r="U757" s="1718"/>
      <c r="V757" s="1718"/>
      <c r="W757" s="1719"/>
      <c r="X757" s="1411"/>
      <c r="Y757" s="1412"/>
      <c r="Z757" s="1412"/>
      <c r="AA757" s="1412"/>
      <c r="AB757" s="1413"/>
      <c r="AC757" s="1411"/>
      <c r="AD757" s="1412"/>
      <c r="AE757" s="1412"/>
      <c r="AF757" s="1412"/>
      <c r="AG757" s="141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1" t="s">
        <v>164</v>
      </c>
      <c r="K758" s="1382"/>
      <c r="L758" s="1382"/>
      <c r="M758" s="1382"/>
      <c r="N758" s="1383"/>
      <c r="O758" s="1619">
        <v>1</v>
      </c>
      <c r="P758" s="1619"/>
      <c r="Q758" s="1619"/>
      <c r="R758" s="1619"/>
      <c r="S758" s="1619"/>
      <c r="T758" s="1393">
        <v>843</v>
      </c>
      <c r="U758" s="1394"/>
      <c r="V758" s="1394"/>
      <c r="W758" s="1395"/>
      <c r="X758" s="1390">
        <v>1536</v>
      </c>
      <c r="Y758" s="1391"/>
      <c r="Z758" s="1391"/>
      <c r="AA758" s="1391"/>
      <c r="AB758" s="1392"/>
      <c r="AC758" s="1387">
        <f>X758*O758</f>
        <v>1536</v>
      </c>
      <c r="AD758" s="1388"/>
      <c r="AE758" s="1388"/>
      <c r="AF758" s="1388"/>
      <c r="AG758" s="138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1"/>
      <c r="K759" s="1382"/>
      <c r="L759" s="1382"/>
      <c r="M759" s="1382"/>
      <c r="N759" s="1383"/>
      <c r="O759" s="1619"/>
      <c r="P759" s="1619"/>
      <c r="Q759" s="1619"/>
      <c r="R759" s="1619"/>
      <c r="S759" s="1619"/>
      <c r="T759" s="1393"/>
      <c r="U759" s="1394"/>
      <c r="V759" s="1394"/>
      <c r="W759" s="1395"/>
      <c r="X759" s="1390"/>
      <c r="Y759" s="1391"/>
      <c r="Z759" s="1391"/>
      <c r="AA759" s="1391"/>
      <c r="AB759" s="1392"/>
      <c r="AC759" s="1387">
        <f>X759*O759</f>
        <v>0</v>
      </c>
      <c r="AD759" s="1388"/>
      <c r="AE759" s="1388"/>
      <c r="AF759" s="1388"/>
      <c r="AG759" s="138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1"/>
      <c r="K760" s="1382"/>
      <c r="L760" s="1382"/>
      <c r="M760" s="1382"/>
      <c r="N760" s="1383"/>
      <c r="O760" s="1619"/>
      <c r="P760" s="1619"/>
      <c r="Q760" s="1619"/>
      <c r="R760" s="1619"/>
      <c r="S760" s="1619"/>
      <c r="T760" s="1393"/>
      <c r="U760" s="1394"/>
      <c r="V760" s="1394"/>
      <c r="W760" s="1395"/>
      <c r="X760" s="1390"/>
      <c r="Y760" s="1391"/>
      <c r="Z760" s="1391"/>
      <c r="AA760" s="1391"/>
      <c r="AB760" s="1392"/>
      <c r="AC760" s="1387">
        <f>X760*O760</f>
        <v>0</v>
      </c>
      <c r="AD760" s="1388"/>
      <c r="AE760" s="1388"/>
      <c r="AF760" s="1388"/>
      <c r="AG760" s="138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1"/>
      <c r="K761" s="1382"/>
      <c r="L761" s="1382"/>
      <c r="M761" s="1382"/>
      <c r="N761" s="1383"/>
      <c r="O761" s="1619"/>
      <c r="P761" s="1619"/>
      <c r="Q761" s="1619"/>
      <c r="R761" s="1619"/>
      <c r="S761" s="1619"/>
      <c r="T761" s="1393"/>
      <c r="U761" s="1394"/>
      <c r="V761" s="1394"/>
      <c r="W761" s="1395"/>
      <c r="X761" s="1390"/>
      <c r="Y761" s="1391"/>
      <c r="Z761" s="1391"/>
      <c r="AA761" s="1391"/>
      <c r="AB761" s="1392"/>
      <c r="AC761" s="1387">
        <f>X761*O761</f>
        <v>0</v>
      </c>
      <c r="AD761" s="1388"/>
      <c r="AE761" s="1388"/>
      <c r="AF761" s="1388"/>
      <c r="AG761" s="138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4" t="s">
        <v>126</v>
      </c>
      <c r="K762" s="1575"/>
      <c r="L762" s="1575"/>
      <c r="M762" s="1575"/>
      <c r="N762" s="1576"/>
      <c r="O762" s="1437">
        <f>SUM(O758:S761)</f>
        <v>1</v>
      </c>
      <c r="P762" s="1661"/>
      <c r="Q762" s="1661"/>
      <c r="R762" s="1661"/>
      <c r="S762" s="1438"/>
      <c r="X762" s="1574" t="s">
        <v>125</v>
      </c>
      <c r="Y762" s="1575"/>
      <c r="Z762" s="1575"/>
      <c r="AA762" s="1575"/>
      <c r="AB762" s="1576"/>
      <c r="AC762" s="1387">
        <f>SUM(AC758:AG761)</f>
        <v>1536</v>
      </c>
      <c r="AD762" s="1388"/>
      <c r="AE762" s="1388"/>
      <c r="AF762" s="1388"/>
      <c r="AG762" s="138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6" t="s">
        <v>678</v>
      </c>
      <c r="K764" s="1726"/>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586" t="s">
        <v>390</v>
      </c>
      <c r="K768" s="1406"/>
      <c r="L768" s="1406"/>
      <c r="M768" s="1406"/>
      <c r="N768" s="1407"/>
      <c r="O768" s="1668" t="s">
        <v>286</v>
      </c>
      <c r="P768" s="1668"/>
      <c r="Q768" s="1668"/>
      <c r="R768" s="1668"/>
      <c r="S768" s="1668"/>
      <c r="T768" s="1625" t="s">
        <v>1938</v>
      </c>
      <c r="U768" s="1626"/>
      <c r="V768" s="1626"/>
      <c r="W768" s="1627"/>
      <c r="X768" s="1586" t="s">
        <v>456</v>
      </c>
      <c r="Y768" s="1406"/>
      <c r="Z768" s="1406"/>
      <c r="AA768" s="1406"/>
      <c r="AB768" s="1407"/>
      <c r="AC768" s="1586" t="s">
        <v>287</v>
      </c>
      <c r="AD768" s="1406"/>
      <c r="AE768" s="1406"/>
      <c r="AF768" s="1406"/>
      <c r="AG768" s="1407"/>
      <c r="AH768" s="1722" t="s">
        <v>2131</v>
      </c>
      <c r="AI768" s="1723"/>
      <c r="AJ768" s="1723"/>
      <c r="AK768" s="1723"/>
      <c r="AL768" s="172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8"/>
      <c r="K769" s="1409"/>
      <c r="L769" s="1409"/>
      <c r="M769" s="1409"/>
      <c r="N769" s="1410"/>
      <c r="O769" s="1668"/>
      <c r="P769" s="1668"/>
      <c r="Q769" s="1668"/>
      <c r="R769" s="1668"/>
      <c r="S769" s="1668"/>
      <c r="T769" s="1628"/>
      <c r="U769" s="1629"/>
      <c r="V769" s="1629"/>
      <c r="W769" s="1630"/>
      <c r="X769" s="1408"/>
      <c r="Y769" s="1409"/>
      <c r="Z769" s="1409"/>
      <c r="AA769" s="1409"/>
      <c r="AB769" s="1410"/>
      <c r="AC769" s="1408"/>
      <c r="AD769" s="1409"/>
      <c r="AE769" s="1409"/>
      <c r="AF769" s="1409"/>
      <c r="AG769" s="1410"/>
      <c r="AH769" s="1722"/>
      <c r="AI769" s="1723"/>
      <c r="AJ769" s="1723"/>
      <c r="AK769" s="1723"/>
      <c r="AL769" s="172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8"/>
      <c r="K770" s="1409"/>
      <c r="L770" s="1409"/>
      <c r="M770" s="1409"/>
      <c r="N770" s="1410"/>
      <c r="O770" s="1668"/>
      <c r="P770" s="1668"/>
      <c r="Q770" s="1668"/>
      <c r="R770" s="1668"/>
      <c r="S770" s="1668"/>
      <c r="T770" s="1628"/>
      <c r="U770" s="1629"/>
      <c r="V770" s="1629"/>
      <c r="W770" s="1630"/>
      <c r="X770" s="1408"/>
      <c r="Y770" s="1409"/>
      <c r="Z770" s="1409"/>
      <c r="AA770" s="1409"/>
      <c r="AB770" s="1410"/>
      <c r="AC770" s="1408"/>
      <c r="AD770" s="1409"/>
      <c r="AE770" s="1409"/>
      <c r="AF770" s="1409"/>
      <c r="AG770" s="1410"/>
      <c r="AH770" s="1722"/>
      <c r="AI770" s="1723"/>
      <c r="AJ770" s="1723"/>
      <c r="AK770" s="1723"/>
      <c r="AL770" s="172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11"/>
      <c r="K771" s="1412"/>
      <c r="L771" s="1412"/>
      <c r="M771" s="1412"/>
      <c r="N771" s="1413"/>
      <c r="O771" s="1668"/>
      <c r="P771" s="1668"/>
      <c r="Q771" s="1668"/>
      <c r="R771" s="1668"/>
      <c r="S771" s="1668"/>
      <c r="T771" s="1717"/>
      <c r="U771" s="1718"/>
      <c r="V771" s="1718"/>
      <c r="W771" s="1719"/>
      <c r="X771" s="1411"/>
      <c r="Y771" s="1412"/>
      <c r="Z771" s="1412"/>
      <c r="AA771" s="1412"/>
      <c r="AB771" s="1413"/>
      <c r="AC771" s="1411"/>
      <c r="AD771" s="1412"/>
      <c r="AE771" s="1412"/>
      <c r="AF771" s="1412"/>
      <c r="AG771" s="1413"/>
      <c r="AH771" s="1722"/>
      <c r="AI771" s="1723"/>
      <c r="AJ771" s="1723"/>
      <c r="AK771" s="1723"/>
      <c r="AL771" s="172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1"/>
      <c r="K772" s="1382"/>
      <c r="L772" s="1382"/>
      <c r="M772" s="1382"/>
      <c r="N772" s="1383"/>
      <c r="O772" s="1619"/>
      <c r="P772" s="1619"/>
      <c r="Q772" s="1619"/>
      <c r="R772" s="1619"/>
      <c r="S772" s="1619"/>
      <c r="T772" s="1393"/>
      <c r="U772" s="1394"/>
      <c r="V772" s="1394"/>
      <c r="W772" s="1395"/>
      <c r="X772" s="1390"/>
      <c r="Y772" s="1391"/>
      <c r="Z772" s="1391"/>
      <c r="AA772" s="1391"/>
      <c r="AB772" s="1392"/>
      <c r="AC772" s="1387">
        <f t="shared" ref="AC772:AC781" si="51">X772*O772</f>
        <v>0</v>
      </c>
      <c r="AD772" s="1388"/>
      <c r="AE772" s="1388"/>
      <c r="AF772" s="1388"/>
      <c r="AG772" s="1389"/>
      <c r="AH772" s="1620"/>
      <c r="AI772" s="1621"/>
      <c r="AJ772" s="1621"/>
      <c r="AK772" s="1621"/>
      <c r="AL772" s="162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1"/>
      <c r="K773" s="1382"/>
      <c r="L773" s="1382"/>
      <c r="M773" s="1382"/>
      <c r="N773" s="1383"/>
      <c r="O773" s="1619"/>
      <c r="P773" s="1619"/>
      <c r="Q773" s="1619"/>
      <c r="R773" s="1619"/>
      <c r="S773" s="1619"/>
      <c r="T773" s="1393"/>
      <c r="U773" s="1394"/>
      <c r="V773" s="1394"/>
      <c r="W773" s="1395"/>
      <c r="X773" s="1390"/>
      <c r="Y773" s="1391"/>
      <c r="Z773" s="1391"/>
      <c r="AA773" s="1391"/>
      <c r="AB773" s="1392"/>
      <c r="AC773" s="1387">
        <f t="shared" si="51"/>
        <v>0</v>
      </c>
      <c r="AD773" s="1388"/>
      <c r="AE773" s="1388"/>
      <c r="AF773" s="1388"/>
      <c r="AG773" s="1389"/>
      <c r="AH773" s="1620"/>
      <c r="AI773" s="1621"/>
      <c r="AJ773" s="1621"/>
      <c r="AK773" s="1621"/>
      <c r="AL773" s="16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1"/>
      <c r="K774" s="1382"/>
      <c r="L774" s="1382"/>
      <c r="M774" s="1382"/>
      <c r="N774" s="1383"/>
      <c r="O774" s="1619"/>
      <c r="P774" s="1619"/>
      <c r="Q774" s="1619"/>
      <c r="R774" s="1619"/>
      <c r="S774" s="1619"/>
      <c r="T774" s="1393"/>
      <c r="U774" s="1394"/>
      <c r="V774" s="1394"/>
      <c r="W774" s="1395"/>
      <c r="X774" s="1390"/>
      <c r="Y774" s="1391"/>
      <c r="Z774" s="1391"/>
      <c r="AA774" s="1391"/>
      <c r="AB774" s="1392"/>
      <c r="AC774" s="1387">
        <f t="shared" si="51"/>
        <v>0</v>
      </c>
      <c r="AD774" s="1388"/>
      <c r="AE774" s="1388"/>
      <c r="AF774" s="1388"/>
      <c r="AG774" s="1389"/>
      <c r="AH774" s="1620"/>
      <c r="AI774" s="1621"/>
      <c r="AJ774" s="1621"/>
      <c r="AK774" s="1621"/>
      <c r="AL774" s="16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1"/>
      <c r="K775" s="1382"/>
      <c r="L775" s="1382"/>
      <c r="M775" s="1382"/>
      <c r="N775" s="1383"/>
      <c r="O775" s="1619"/>
      <c r="P775" s="1619"/>
      <c r="Q775" s="1619"/>
      <c r="R775" s="1619"/>
      <c r="S775" s="1619"/>
      <c r="T775" s="1393"/>
      <c r="U775" s="1394"/>
      <c r="V775" s="1394"/>
      <c r="W775" s="1395"/>
      <c r="X775" s="1390"/>
      <c r="Y775" s="1391"/>
      <c r="Z775" s="1391"/>
      <c r="AA775" s="1391"/>
      <c r="AB775" s="1392"/>
      <c r="AC775" s="1387">
        <f t="shared" si="51"/>
        <v>0</v>
      </c>
      <c r="AD775" s="1388"/>
      <c r="AE775" s="1388"/>
      <c r="AF775" s="1388"/>
      <c r="AG775" s="1389"/>
      <c r="AH775" s="1620"/>
      <c r="AI775" s="1621"/>
      <c r="AJ775" s="1621"/>
      <c r="AK775" s="1621"/>
      <c r="AL775" s="16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1"/>
      <c r="K776" s="1382"/>
      <c r="L776" s="1382"/>
      <c r="M776" s="1382"/>
      <c r="N776" s="1383"/>
      <c r="O776" s="1619"/>
      <c r="P776" s="1619"/>
      <c r="Q776" s="1619"/>
      <c r="R776" s="1619"/>
      <c r="S776" s="1619"/>
      <c r="T776" s="1393"/>
      <c r="U776" s="1394"/>
      <c r="V776" s="1394"/>
      <c r="W776" s="1395"/>
      <c r="X776" s="1390"/>
      <c r="Y776" s="1391"/>
      <c r="Z776" s="1391"/>
      <c r="AA776" s="1391"/>
      <c r="AB776" s="1392"/>
      <c r="AC776" s="1387">
        <f t="shared" si="51"/>
        <v>0</v>
      </c>
      <c r="AD776" s="1388"/>
      <c r="AE776" s="1388"/>
      <c r="AF776" s="1388"/>
      <c r="AG776" s="1389"/>
      <c r="AH776" s="1620"/>
      <c r="AI776" s="1621"/>
      <c r="AJ776" s="1621"/>
      <c r="AK776" s="1621"/>
      <c r="AL776" s="16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1"/>
      <c r="K777" s="1382"/>
      <c r="L777" s="1382"/>
      <c r="M777" s="1382"/>
      <c r="N777" s="1383"/>
      <c r="O777" s="1619"/>
      <c r="P777" s="1619"/>
      <c r="Q777" s="1619"/>
      <c r="R777" s="1619"/>
      <c r="S777" s="1619"/>
      <c r="T777" s="1393"/>
      <c r="U777" s="1394"/>
      <c r="V777" s="1394"/>
      <c r="W777" s="1395"/>
      <c r="X777" s="1390"/>
      <c r="Y777" s="1391"/>
      <c r="Z777" s="1391"/>
      <c r="AA777" s="1391"/>
      <c r="AB777" s="1392"/>
      <c r="AC777" s="1387">
        <f t="shared" si="51"/>
        <v>0</v>
      </c>
      <c r="AD777" s="1388"/>
      <c r="AE777" s="1388"/>
      <c r="AF777" s="1388"/>
      <c r="AG777" s="1389"/>
      <c r="AH777" s="1620"/>
      <c r="AI777" s="1621"/>
      <c r="AJ777" s="1621"/>
      <c r="AK777" s="1621"/>
      <c r="AL777" s="16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1"/>
      <c r="K778" s="1382"/>
      <c r="L778" s="1382"/>
      <c r="M778" s="1382"/>
      <c r="N778" s="1383"/>
      <c r="O778" s="1619"/>
      <c r="P778" s="1619"/>
      <c r="Q778" s="1619"/>
      <c r="R778" s="1619"/>
      <c r="S778" s="1619"/>
      <c r="T778" s="1393"/>
      <c r="U778" s="1394"/>
      <c r="V778" s="1394"/>
      <c r="W778" s="1395"/>
      <c r="X778" s="1390"/>
      <c r="Y778" s="1391"/>
      <c r="Z778" s="1391"/>
      <c r="AA778" s="1391"/>
      <c r="AB778" s="1392"/>
      <c r="AC778" s="1387">
        <f t="shared" si="51"/>
        <v>0</v>
      </c>
      <c r="AD778" s="1388"/>
      <c r="AE778" s="1388"/>
      <c r="AF778" s="1388"/>
      <c r="AG778" s="1389"/>
      <c r="AH778" s="1620"/>
      <c r="AI778" s="1621"/>
      <c r="AJ778" s="1621"/>
      <c r="AK778" s="1621"/>
      <c r="AL778" s="162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1"/>
      <c r="K779" s="1382"/>
      <c r="L779" s="1382"/>
      <c r="M779" s="1382"/>
      <c r="N779" s="1383"/>
      <c r="O779" s="1619"/>
      <c r="P779" s="1619"/>
      <c r="Q779" s="1619"/>
      <c r="R779" s="1619"/>
      <c r="S779" s="1619"/>
      <c r="T779" s="1393"/>
      <c r="U779" s="1394"/>
      <c r="V779" s="1394"/>
      <c r="W779" s="1395"/>
      <c r="X779" s="1390"/>
      <c r="Y779" s="1391"/>
      <c r="Z779" s="1391"/>
      <c r="AA779" s="1391"/>
      <c r="AB779" s="1392"/>
      <c r="AC779" s="1387">
        <f t="shared" si="51"/>
        <v>0</v>
      </c>
      <c r="AD779" s="1388"/>
      <c r="AE779" s="1388"/>
      <c r="AF779" s="1388"/>
      <c r="AG779" s="1389"/>
      <c r="AH779" s="1620"/>
      <c r="AI779" s="1621"/>
      <c r="AJ779" s="1621"/>
      <c r="AK779" s="1621"/>
      <c r="AL779" s="162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1"/>
      <c r="K780" s="1382"/>
      <c r="L780" s="1382"/>
      <c r="M780" s="1382"/>
      <c r="N780" s="1383"/>
      <c r="O780" s="1619"/>
      <c r="P780" s="1619"/>
      <c r="Q780" s="1619"/>
      <c r="R780" s="1619"/>
      <c r="S780" s="1619"/>
      <c r="T780" s="1393"/>
      <c r="U780" s="1394"/>
      <c r="V780" s="1394"/>
      <c r="W780" s="1395"/>
      <c r="X780" s="1390"/>
      <c r="Y780" s="1391"/>
      <c r="Z780" s="1391"/>
      <c r="AA780" s="1391"/>
      <c r="AB780" s="1392"/>
      <c r="AC780" s="1387">
        <f t="shared" si="51"/>
        <v>0</v>
      </c>
      <c r="AD780" s="1388"/>
      <c r="AE780" s="1388"/>
      <c r="AF780" s="1388"/>
      <c r="AG780" s="1389"/>
      <c r="AH780" s="1620"/>
      <c r="AI780" s="1621"/>
      <c r="AJ780" s="1621"/>
      <c r="AK780" s="1621"/>
      <c r="AL780" s="162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1"/>
      <c r="K781" s="1382"/>
      <c r="L781" s="1382"/>
      <c r="M781" s="1382"/>
      <c r="N781" s="1383"/>
      <c r="O781" s="1619"/>
      <c r="P781" s="1619"/>
      <c r="Q781" s="1619"/>
      <c r="R781" s="1619"/>
      <c r="S781" s="1619"/>
      <c r="T781" s="1393"/>
      <c r="U781" s="1394"/>
      <c r="V781" s="1394"/>
      <c r="W781" s="1395"/>
      <c r="X781" s="1390"/>
      <c r="Y781" s="1391"/>
      <c r="Z781" s="1391"/>
      <c r="AA781" s="1391"/>
      <c r="AB781" s="1392"/>
      <c r="AC781" s="1387">
        <f t="shared" si="51"/>
        <v>0</v>
      </c>
      <c r="AD781" s="1388"/>
      <c r="AE781" s="1388"/>
      <c r="AF781" s="1388"/>
      <c r="AG781" s="1389"/>
      <c r="AH781" s="1620"/>
      <c r="AI781" s="1621"/>
      <c r="AJ781" s="1621"/>
      <c r="AK781" s="1621"/>
      <c r="AL781" s="162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4" t="s">
        <v>126</v>
      </c>
      <c r="K782" s="1575"/>
      <c r="L782" s="1575"/>
      <c r="M782" s="1575"/>
      <c r="N782" s="1576"/>
      <c r="O782" s="1414">
        <f>SUM(O772:S781)</f>
        <v>0</v>
      </c>
      <c r="P782" s="1414"/>
      <c r="Q782" s="1414"/>
      <c r="R782" s="1414"/>
      <c r="S782" s="1414"/>
      <c r="X782" s="939" t="s">
        <v>125</v>
      </c>
      <c r="Y782" s="11"/>
      <c r="Z782" s="11"/>
      <c r="AA782" s="11"/>
      <c r="AB782" s="946"/>
      <c r="AC782" s="1387">
        <f>SUM(AC772:AG781)</f>
        <v>0</v>
      </c>
      <c r="AD782" s="1388"/>
      <c r="AE782" s="1388"/>
      <c r="AF782" s="1388"/>
      <c r="AG782" s="138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69">
        <f>O739+AC762+AC782</f>
        <v>146201</v>
      </c>
      <c r="Z784" s="1669"/>
      <c r="AA784" s="1669"/>
      <c r="AB784" s="1669"/>
      <c r="AC784" s="16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69">
        <f>(O739+AC762+AC782)*12</f>
        <v>1754412</v>
      </c>
      <c r="Z785" s="1669"/>
      <c r="AA785" s="1669"/>
      <c r="AB785" s="1669"/>
      <c r="AC785" s="1669"/>
      <c r="AZ785" s="3"/>
      <c r="BA785" s="14" t="s">
        <v>641</v>
      </c>
      <c r="BB785" s="14"/>
      <c r="BC785" s="14"/>
      <c r="BD785" s="14"/>
      <c r="BE785" s="14"/>
      <c r="BF785" s="14"/>
      <c r="BG785" s="14"/>
      <c r="BH785" s="14"/>
      <c r="BI785" s="14"/>
      <c r="BJ785" s="14"/>
      <c r="BK785" s="14"/>
      <c r="BL785" s="14"/>
      <c r="BM785" s="14"/>
      <c r="BN785" s="1666" t="s">
        <v>478</v>
      </c>
      <c r="BO785" s="1667"/>
      <c r="BP785" s="3"/>
      <c r="BQ785" s="3"/>
      <c r="BR785" s="3"/>
      <c r="BS785" s="14" t="s">
        <v>643</v>
      </c>
      <c r="BT785" s="14"/>
      <c r="BU785" s="14"/>
      <c r="BV785" s="14"/>
      <c r="BW785" s="14"/>
      <c r="BX785" s="14"/>
      <c r="BY785" s="14"/>
      <c r="BZ785" s="14"/>
      <c r="CA785" s="14"/>
      <c r="CB785" s="1663" t="str">
        <f>T189</f>
        <v>Placer</v>
      </c>
      <c r="CC785" s="1664"/>
      <c r="CD785" s="1664"/>
      <c r="CE785" s="1664"/>
      <c r="CF785" s="1664"/>
      <c r="CG785" s="1664"/>
      <c r="CH785" s="166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3"/>
      <c r="AA790" s="1584"/>
      <c r="AB790" s="1584"/>
      <c r="AC790" s="1584"/>
      <c r="AD790" s="1584"/>
      <c r="AE790" s="1585"/>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16"/>
      <c r="AA791" s="1584"/>
      <c r="AB791" s="1584"/>
      <c r="AC791" s="1584"/>
      <c r="AD791" s="1584"/>
      <c r="AE791" s="158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4">
        <v>0</v>
      </c>
      <c r="AA792" s="1672"/>
      <c r="AB792" s="1672"/>
      <c r="AC792" s="1672"/>
      <c r="AD792" s="1672"/>
      <c r="AE792" s="1673"/>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38">
        <f>'Subsidy Contract Calculation'!J30</f>
        <v>0</v>
      </c>
      <c r="AA793" s="1639"/>
      <c r="AB793" s="1639"/>
      <c r="AC793" s="1639"/>
      <c r="AD793" s="1639"/>
      <c r="AE793" s="164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7">
        <v>20880</v>
      </c>
      <c r="AA797" s="1428"/>
      <c r="AB797" s="1428"/>
      <c r="AC797" s="1428"/>
      <c r="AD797" s="1428"/>
      <c r="AE797" s="142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7"/>
      <c r="AA798" s="1428"/>
      <c r="AB798" s="1428"/>
      <c r="AC798" s="1428"/>
      <c r="AD798" s="1428"/>
      <c r="AE798" s="142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7"/>
      <c r="AA799" s="1428"/>
      <c r="AB799" s="1428"/>
      <c r="AC799" s="1428"/>
      <c r="AD799" s="1428"/>
      <c r="AE799" s="142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1" t="s">
        <v>335</v>
      </c>
      <c r="Q800" s="1542"/>
      <c r="R800" s="1542"/>
      <c r="S800" s="1542"/>
      <c r="T800" s="1542"/>
      <c r="U800" s="1542"/>
      <c r="V800" s="1542"/>
      <c r="W800" s="1542"/>
      <c r="X800" s="1542"/>
      <c r="Y800" s="1543"/>
      <c r="Z800" s="1427"/>
      <c r="AA800" s="1428"/>
      <c r="AB800" s="1428"/>
      <c r="AC800" s="1428"/>
      <c r="AD800" s="1428"/>
      <c r="AE800" s="142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38">
        <f>SUM(Z797:AE800)</f>
        <v>20880</v>
      </c>
      <c r="AA801" s="1639"/>
      <c r="AB801" s="1639"/>
      <c r="AC801" s="1639"/>
      <c r="AD801" s="1639"/>
      <c r="AE801" s="164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638">
        <f>Z801+Y785+Z793</f>
        <v>1775292</v>
      </c>
      <c r="AA802" s="1639"/>
      <c r="AB802" s="1639"/>
      <c r="AC802" s="1639"/>
      <c r="AD802" s="1639"/>
      <c r="AE802" s="164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7" t="s">
        <v>127</v>
      </c>
      <c r="N807" s="1527"/>
      <c r="O807" s="1527"/>
      <c r="P807" s="1737"/>
      <c r="Q807" s="1582" t="s">
        <v>291</v>
      </c>
      <c r="R807" s="1582"/>
      <c r="S807" s="1582"/>
      <c r="T807" s="1582"/>
      <c r="U807" s="1582" t="s">
        <v>292</v>
      </c>
      <c r="V807" s="1582"/>
      <c r="W807" s="1582"/>
      <c r="X807" s="1582"/>
      <c r="Y807" s="1582" t="s">
        <v>293</v>
      </c>
      <c r="Z807" s="1582"/>
      <c r="AA807" s="1582"/>
      <c r="AB807" s="1582"/>
      <c r="AC807" s="1582" t="s">
        <v>362</v>
      </c>
      <c r="AD807" s="1582"/>
      <c r="AE807" s="1582"/>
      <c r="AF807" s="1582"/>
      <c r="AG807" s="1715" t="s">
        <v>336</v>
      </c>
      <c r="AH807" s="1715"/>
      <c r="AI807" s="1715"/>
      <c r="AJ807" s="171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1"/>
      <c r="N808" s="1531"/>
      <c r="O808" s="1531"/>
      <c r="P808" s="1703"/>
      <c r="Q808" s="1582"/>
      <c r="R808" s="1582"/>
      <c r="S808" s="1582"/>
      <c r="T808" s="1582"/>
      <c r="U808" s="1582"/>
      <c r="V808" s="1582"/>
      <c r="W808" s="1582"/>
      <c r="X808" s="1582"/>
      <c r="Y808" s="1582"/>
      <c r="Z808" s="1582"/>
      <c r="AA808" s="1582"/>
      <c r="AB808" s="1582"/>
      <c r="AC808" s="1582"/>
      <c r="AD808" s="1582"/>
      <c r="AE808" s="1582"/>
      <c r="AF808" s="1582"/>
      <c r="AG808" s="1715"/>
      <c r="AH808" s="1715"/>
      <c r="AI808" s="1715"/>
      <c r="AJ808" s="171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6" t="s">
        <v>40</v>
      </c>
      <c r="D809" s="1351"/>
      <c r="E809" s="1351"/>
      <c r="F809" s="1351"/>
      <c r="G809" s="1351"/>
      <c r="H809" s="1351"/>
      <c r="I809" s="48"/>
      <c r="J809" s="48"/>
      <c r="K809" s="48"/>
      <c r="L809" s="49"/>
      <c r="M809" s="1570"/>
      <c r="N809" s="1570"/>
      <c r="O809" s="1570"/>
      <c r="P809" s="1570"/>
      <c r="Q809" s="1570"/>
      <c r="R809" s="1570"/>
      <c r="S809" s="1570"/>
      <c r="T809" s="1570"/>
      <c r="U809" s="1570"/>
      <c r="V809" s="1570"/>
      <c r="W809" s="1570"/>
      <c r="X809" s="1570"/>
      <c r="Y809" s="1570"/>
      <c r="Z809" s="1570"/>
      <c r="AA809" s="1570"/>
      <c r="AB809" s="1570"/>
      <c r="AC809" s="1430"/>
      <c r="AD809" s="1431"/>
      <c r="AE809" s="1431"/>
      <c r="AF809" s="1432"/>
      <c r="AG809" s="1430"/>
      <c r="AH809" s="1431"/>
      <c r="AI809" s="1431"/>
      <c r="AJ809" s="1432"/>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4" t="s">
        <v>41</v>
      </c>
      <c r="D810" s="1581"/>
      <c r="E810" s="1581"/>
      <c r="F810" s="1581"/>
      <c r="G810" s="1581"/>
      <c r="H810" s="1581"/>
      <c r="I810" s="5"/>
      <c r="J810" s="5"/>
      <c r="K810" s="5"/>
      <c r="L810" s="46"/>
      <c r="M810" s="1570"/>
      <c r="N810" s="1570"/>
      <c r="O810" s="1570"/>
      <c r="P810" s="1570"/>
      <c r="Q810" s="1570"/>
      <c r="R810" s="1570"/>
      <c r="S810" s="1570"/>
      <c r="T810" s="1570"/>
      <c r="U810" s="1570"/>
      <c r="V810" s="1570"/>
      <c r="W810" s="1570"/>
      <c r="X810" s="1570"/>
      <c r="Y810" s="1570"/>
      <c r="Z810" s="1570"/>
      <c r="AA810" s="1570"/>
      <c r="AB810" s="1570"/>
      <c r="AC810" s="1430"/>
      <c r="AD810" s="1431"/>
      <c r="AE810" s="1431"/>
      <c r="AF810" s="1432"/>
      <c r="AG810" s="1430"/>
      <c r="AH810" s="1431"/>
      <c r="AI810" s="1431"/>
      <c r="AJ810" s="1432"/>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4" t="s">
        <v>42</v>
      </c>
      <c r="D811" s="1581"/>
      <c r="E811" s="1581"/>
      <c r="F811" s="1581"/>
      <c r="G811" s="1581"/>
      <c r="H811" s="1581"/>
      <c r="I811" s="60"/>
      <c r="J811" s="60"/>
      <c r="K811" s="60"/>
      <c r="L811" s="61"/>
      <c r="M811" s="1570"/>
      <c r="N811" s="1570"/>
      <c r="O811" s="1570"/>
      <c r="P811" s="1570"/>
      <c r="Q811" s="1430">
        <v>4</v>
      </c>
      <c r="R811" s="1431"/>
      <c r="S811" s="1431"/>
      <c r="T811" s="1432"/>
      <c r="U811" s="1430">
        <v>6</v>
      </c>
      <c r="V811" s="1431"/>
      <c r="W811" s="1431"/>
      <c r="X811" s="1432"/>
      <c r="Y811" s="1430">
        <v>8</v>
      </c>
      <c r="Z811" s="1431"/>
      <c r="AA811" s="1431"/>
      <c r="AB811" s="1432"/>
      <c r="AC811" s="1430"/>
      <c r="AD811" s="1431"/>
      <c r="AE811" s="1431"/>
      <c r="AF811" s="1432"/>
      <c r="AG811" s="1430"/>
      <c r="AH811" s="1431"/>
      <c r="AI811" s="1431"/>
      <c r="AJ811" s="1432"/>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4" t="s">
        <v>786</v>
      </c>
      <c r="D812" s="1581"/>
      <c r="E812" s="1581"/>
      <c r="F812" s="1581"/>
      <c r="G812" s="1581"/>
      <c r="H812" s="1581"/>
      <c r="I812" s="60"/>
      <c r="J812" s="60"/>
      <c r="K812" s="60"/>
      <c r="L812" s="61"/>
      <c r="M812" s="1570"/>
      <c r="N812" s="1570"/>
      <c r="O812" s="1570"/>
      <c r="P812" s="1570"/>
      <c r="Q812" s="1570"/>
      <c r="R812" s="1570"/>
      <c r="S812" s="1570"/>
      <c r="T812" s="1570"/>
      <c r="U812" s="1570"/>
      <c r="V812" s="1570"/>
      <c r="W812" s="1570"/>
      <c r="X812" s="1570"/>
      <c r="Y812" s="1570"/>
      <c r="Z812" s="1570"/>
      <c r="AA812" s="1570"/>
      <c r="AB812" s="1570"/>
      <c r="AC812" s="1430"/>
      <c r="AD812" s="1431"/>
      <c r="AE812" s="1431"/>
      <c r="AF812" s="1432"/>
      <c r="AG812" s="1430"/>
      <c r="AH812" s="1431"/>
      <c r="AI812" s="1431"/>
      <c r="AJ812" s="1432"/>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4" t="s">
        <v>468</v>
      </c>
      <c r="D813" s="1581"/>
      <c r="E813" s="1581"/>
      <c r="F813" s="1581"/>
      <c r="G813" s="1581"/>
      <c r="H813" s="1581"/>
      <c r="I813" s="60"/>
      <c r="J813" s="60"/>
      <c r="K813" s="60"/>
      <c r="L813" s="61"/>
      <c r="M813" s="1570"/>
      <c r="N813" s="1570"/>
      <c r="O813" s="1570"/>
      <c r="P813" s="1570"/>
      <c r="Q813" s="1570">
        <v>16</v>
      </c>
      <c r="R813" s="1570"/>
      <c r="S813" s="1570"/>
      <c r="T813" s="1570"/>
      <c r="U813" s="1570">
        <v>23</v>
      </c>
      <c r="V813" s="1570"/>
      <c r="W813" s="1570"/>
      <c r="X813" s="1570"/>
      <c r="Y813" s="1570">
        <v>29</v>
      </c>
      <c r="Z813" s="1570"/>
      <c r="AA813" s="1570"/>
      <c r="AB813" s="1570"/>
      <c r="AC813" s="1430"/>
      <c r="AD813" s="1431"/>
      <c r="AE813" s="1431"/>
      <c r="AF813" s="1432"/>
      <c r="AG813" s="1430"/>
      <c r="AH813" s="1431"/>
      <c r="AI813" s="1431"/>
      <c r="AJ813" s="1432"/>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80" t="s">
        <v>807</v>
      </c>
      <c r="D814" s="1581"/>
      <c r="E814" s="1581"/>
      <c r="F814" s="1581"/>
      <c r="G814" s="1581"/>
      <c r="H814" s="1581"/>
      <c r="I814" s="60"/>
      <c r="J814" s="60"/>
      <c r="K814" s="60"/>
      <c r="L814" s="61"/>
      <c r="M814" s="1570"/>
      <c r="N814" s="1570"/>
      <c r="O814" s="1570"/>
      <c r="P814" s="1570"/>
      <c r="Q814" s="1570"/>
      <c r="R814" s="1570"/>
      <c r="S814" s="1570"/>
      <c r="T814" s="1570"/>
      <c r="U814" s="1570"/>
      <c r="V814" s="1570"/>
      <c r="W814" s="1570"/>
      <c r="X814" s="1570"/>
      <c r="Y814" s="1570"/>
      <c r="Z814" s="1570"/>
      <c r="AA814" s="1570"/>
      <c r="AB814" s="1570"/>
      <c r="AC814" s="1430"/>
      <c r="AD814" s="1431"/>
      <c r="AE814" s="1431"/>
      <c r="AF814" s="1432"/>
      <c r="AG814" s="1430"/>
      <c r="AH814" s="1431"/>
      <c r="AI814" s="1431"/>
      <c r="AJ814" s="1432"/>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41" t="s">
        <v>2711</v>
      </c>
      <c r="G815" s="1542"/>
      <c r="H815" s="1542"/>
      <c r="I815" s="1542"/>
      <c r="J815" s="1542"/>
      <c r="K815" s="1542"/>
      <c r="L815" s="1542"/>
      <c r="M815" s="1570"/>
      <c r="N815" s="1570"/>
      <c r="O815" s="1570"/>
      <c r="P815" s="1570"/>
      <c r="Q815" s="1570">
        <v>29</v>
      </c>
      <c r="R815" s="1570"/>
      <c r="S815" s="1570"/>
      <c r="T815" s="1570"/>
      <c r="U815" s="1570">
        <v>31</v>
      </c>
      <c r="V815" s="1570"/>
      <c r="W815" s="1570"/>
      <c r="X815" s="1570"/>
      <c r="Y815" s="1570">
        <v>33</v>
      </c>
      <c r="Z815" s="1570"/>
      <c r="AA815" s="1570"/>
      <c r="AB815" s="1570"/>
      <c r="AC815" s="1430"/>
      <c r="AD815" s="1431"/>
      <c r="AE815" s="1431"/>
      <c r="AF815" s="1432"/>
      <c r="AG815" s="1430"/>
      <c r="AH815" s="1431"/>
      <c r="AI815" s="1431"/>
      <c r="AJ815" s="1432"/>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4" t="s">
        <v>125</v>
      </c>
      <c r="D816" s="1575"/>
      <c r="E816" s="1575"/>
      <c r="F816" s="1575"/>
      <c r="G816" s="1575"/>
      <c r="H816" s="1575"/>
      <c r="I816" s="1575"/>
      <c r="J816" s="1575"/>
      <c r="K816" s="1575"/>
      <c r="L816" s="1576"/>
      <c r="M816" s="1705">
        <f>SUM(M809:P815)</f>
        <v>0</v>
      </c>
      <c r="N816" s="1705"/>
      <c r="O816" s="1705"/>
      <c r="P816" s="1705"/>
      <c r="Q816" s="1705">
        <f>SUM(Q809:T815)</f>
        <v>49</v>
      </c>
      <c r="R816" s="1705"/>
      <c r="S816" s="1705"/>
      <c r="T816" s="1705"/>
      <c r="U816" s="1705">
        <f>SUM(U809:X815)</f>
        <v>60</v>
      </c>
      <c r="V816" s="1705"/>
      <c r="W816" s="1705"/>
      <c r="X816" s="1705"/>
      <c r="Y816" s="1705">
        <f>SUM(Y809:AB815)</f>
        <v>70</v>
      </c>
      <c r="Z816" s="1705"/>
      <c r="AA816" s="1705"/>
      <c r="AB816" s="1705"/>
      <c r="AC816" s="1705">
        <f>SUM(AC809:AF815)</f>
        <v>0</v>
      </c>
      <c r="AD816" s="1705"/>
      <c r="AE816" s="1705"/>
      <c r="AF816" s="1705"/>
      <c r="AG816" s="1705">
        <f>SUM(AG809:AJ815)</f>
        <v>0</v>
      </c>
      <c r="AH816" s="1705"/>
      <c r="AI816" s="1705"/>
      <c r="AJ816" s="170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8" t="s">
        <v>2656</v>
      </c>
      <c r="D821" s="1689"/>
      <c r="E821" s="1689"/>
      <c r="F821" s="1689"/>
      <c r="G821" s="1689"/>
      <c r="H821" s="1689"/>
      <c r="I821" s="1689"/>
      <c r="J821" s="1689"/>
      <c r="K821" s="1689"/>
      <c r="L821" s="1689"/>
      <c r="M821" s="1689"/>
      <c r="N821" s="1689"/>
      <c r="O821" s="1689"/>
      <c r="P821" s="1689"/>
      <c r="Q821" s="1689"/>
      <c r="R821" s="1689"/>
      <c r="S821" s="1689"/>
      <c r="T821" s="1689"/>
      <c r="U821" s="1689"/>
      <c r="V821" s="1689"/>
      <c r="W821" s="1689"/>
      <c r="X821" s="1689"/>
      <c r="Y821" s="1689"/>
      <c r="Z821" s="1689"/>
      <c r="AA821" s="1689"/>
      <c r="AB821" s="1689"/>
      <c r="AC821" s="1689"/>
      <c r="AD821" s="1689"/>
      <c r="AE821" s="1689"/>
      <c r="AF821" s="1689"/>
      <c r="AG821" s="1689"/>
      <c r="AH821" s="1689"/>
      <c r="AI821" s="1689"/>
      <c r="AJ821" s="169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433">
        <v>1740</v>
      </c>
      <c r="X826" s="1433"/>
      <c r="Y826" s="1433"/>
      <c r="Z826" s="1433"/>
      <c r="AA826" s="1433"/>
      <c r="AB826" s="1433"/>
      <c r="AC826" s="1433"/>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433"/>
      <c r="X827" s="1433"/>
      <c r="Y827" s="1433"/>
      <c r="Z827" s="1433"/>
      <c r="AA827" s="1433"/>
      <c r="AB827" s="1433"/>
      <c r="AC827" s="1433"/>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433">
        <v>6960</v>
      </c>
      <c r="X828" s="1433"/>
      <c r="Y828" s="1433"/>
      <c r="Z828" s="1433"/>
      <c r="AA828" s="1433"/>
      <c r="AB828" s="1433"/>
      <c r="AC828" s="1433"/>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433">
        <v>6960</v>
      </c>
      <c r="X829" s="1433"/>
      <c r="Y829" s="1433"/>
      <c r="Z829" s="1433"/>
      <c r="AA829" s="1433"/>
      <c r="AB829" s="1433"/>
      <c r="AC829" s="1433"/>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41" t="s">
        <v>2722</v>
      </c>
      <c r="N830" s="1542"/>
      <c r="O830" s="1542"/>
      <c r="P830" s="1542"/>
      <c r="Q830" s="1542"/>
      <c r="R830" s="1542"/>
      <c r="S830" s="1542"/>
      <c r="T830" s="1542"/>
      <c r="U830" s="1542"/>
      <c r="V830" s="1543"/>
      <c r="W830" s="1433">
        <v>31900</v>
      </c>
      <c r="X830" s="1433"/>
      <c r="Y830" s="1433"/>
      <c r="Z830" s="1433"/>
      <c r="AA830" s="1433"/>
      <c r="AB830" s="1433"/>
      <c r="AC830" s="1433"/>
      <c r="AD830"/>
      <c r="AE830"/>
      <c r="AF830"/>
      <c r="AG830"/>
      <c r="AH830"/>
      <c r="AI830"/>
      <c r="AJ830"/>
      <c r="AK830"/>
      <c r="AL830"/>
      <c r="AM830"/>
      <c r="AN830"/>
      <c r="AO830"/>
      <c r="AP830"/>
      <c r="AQ830"/>
      <c r="AR830"/>
      <c r="AS830"/>
      <c r="AT830"/>
      <c r="AU830"/>
      <c r="AV830"/>
      <c r="AW830"/>
      <c r="AX830"/>
      <c r="AY830"/>
      <c r="BI830" s="1632">
        <f>ROUNDDOWN(BC918*2,2)</f>
        <v>0</v>
      </c>
      <c r="BJ830" s="1632"/>
      <c r="BK830" s="1632"/>
      <c r="BL830" s="1632"/>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638">
        <f>SUM(W826:AC830)</f>
        <v>47560</v>
      </c>
      <c r="X831" s="1639"/>
      <c r="Y831" s="1639"/>
      <c r="Z831" s="1639"/>
      <c r="AA831" s="1639"/>
      <c r="AB831" s="1639"/>
      <c r="AC831" s="1640"/>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74" t="s">
        <v>346</v>
      </c>
      <c r="K833" s="1575"/>
      <c r="L833" s="1575"/>
      <c r="M833" s="1575"/>
      <c r="N833" s="1575"/>
      <c r="O833" s="1575"/>
      <c r="P833" s="1575"/>
      <c r="Q833" s="1575"/>
      <c r="R833" s="1575"/>
      <c r="S833" s="1575"/>
      <c r="T833" s="1575"/>
      <c r="U833" s="1575"/>
      <c r="V833" s="1576"/>
      <c r="W833" s="1427">
        <v>67461</v>
      </c>
      <c r="X833" s="1428"/>
      <c r="Y833" s="1428"/>
      <c r="Z833" s="1428"/>
      <c r="AA833" s="1428"/>
      <c r="AB833" s="1428"/>
      <c r="AC833" s="1429"/>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697"/>
      <c r="X835" s="1697"/>
      <c r="Y835" s="1697"/>
      <c r="Z835" s="1697"/>
      <c r="AA835" s="1697"/>
      <c r="AB835" s="1697"/>
      <c r="AC835" s="1697"/>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697"/>
      <c r="X836" s="1697"/>
      <c r="Y836" s="1697"/>
      <c r="Z836" s="1697"/>
      <c r="AA836" s="1697"/>
      <c r="AB836" s="1697"/>
      <c r="AC836" s="1697"/>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97">
        <v>118900</v>
      </c>
      <c r="X837" s="1697"/>
      <c r="Y837" s="1697"/>
      <c r="Z837" s="1697"/>
      <c r="AA837" s="1697"/>
      <c r="AB837" s="1697"/>
      <c r="AC837" s="1697"/>
      <c r="AD837"/>
      <c r="AE837"/>
      <c r="AF837"/>
      <c r="AG837"/>
      <c r="AH837"/>
      <c r="AI837"/>
      <c r="AJ837"/>
      <c r="AK837"/>
      <c r="AL837"/>
      <c r="AM837"/>
      <c r="AN837"/>
      <c r="AO837"/>
      <c r="AP837"/>
      <c r="AQ837"/>
      <c r="AR837"/>
      <c r="AS837"/>
      <c r="AT837"/>
      <c r="AU837"/>
      <c r="AV837"/>
      <c r="AW837"/>
      <c r="AX837"/>
      <c r="AY837"/>
      <c r="AZ837" s="30"/>
      <c r="BA837" s="30"/>
      <c r="BG837" s="1644"/>
      <c r="BH837" s="1644"/>
      <c r="BI837" s="1644"/>
      <c r="BJ837" s="1644"/>
      <c r="BK837" s="1644"/>
      <c r="BL837" s="1644"/>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97"/>
      <c r="X838" s="1697"/>
      <c r="Y838" s="1697"/>
      <c r="Z838" s="1697"/>
      <c r="AA838" s="1697"/>
      <c r="AB838" s="1697"/>
      <c r="AC838" s="169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713">
        <f>SUM(W835:AC838)</f>
        <v>118900</v>
      </c>
      <c r="X839" s="1713"/>
      <c r="Y839" s="1713"/>
      <c r="Z839" s="1713"/>
      <c r="AA839" s="1713"/>
      <c r="AB839" s="1713"/>
      <c r="AC839" s="171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09">
        <f>SUM(AZ807:AZ835)</f>
        <v>7.5000000000000011E-2</v>
      </c>
      <c r="BA840" s="1709"/>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41">
        <v>99552</v>
      </c>
      <c r="X841" s="1642"/>
      <c r="Y841" s="1642"/>
      <c r="Z841" s="1642"/>
      <c r="AA841" s="1642"/>
      <c r="AB841" s="1642"/>
      <c r="AC841" s="1643"/>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1835</v>
      </c>
      <c r="K842" s="5"/>
      <c r="L842" s="5"/>
      <c r="M842" s="5"/>
      <c r="N842" s="5"/>
      <c r="O842" s="5"/>
      <c r="P842" s="5"/>
      <c r="Q842" s="5"/>
      <c r="R842" s="5"/>
      <c r="S842" s="5"/>
      <c r="T842" s="1695">
        <v>3</v>
      </c>
      <c r="U842" s="1656"/>
      <c r="V842" s="169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1">
        <v>73008</v>
      </c>
      <c r="X843" s="1642"/>
      <c r="Y843" s="1642"/>
      <c r="Z843" s="1642"/>
      <c r="AA843" s="1642"/>
      <c r="AB843" s="1642"/>
      <c r="AC843" s="164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95"/>
      <c r="U844" s="1656"/>
      <c r="V844" s="169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41" t="s">
        <v>2721</v>
      </c>
      <c r="N845" s="1542"/>
      <c r="O845" s="1542"/>
      <c r="P845" s="1542"/>
      <c r="Q845" s="1542"/>
      <c r="R845" s="1542"/>
      <c r="S845" s="1542"/>
      <c r="T845" s="1542"/>
      <c r="U845" s="1542"/>
      <c r="V845" s="1543"/>
      <c r="W845" s="1641">
        <v>12480</v>
      </c>
      <c r="X845" s="1642"/>
      <c r="Y845" s="1642"/>
      <c r="Z845" s="1642"/>
      <c r="AA845" s="1642"/>
      <c r="AB845" s="1642"/>
      <c r="AC845" s="164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10">
        <f>SUM(W841:AC845)</f>
        <v>185040</v>
      </c>
      <c r="X846" s="1711"/>
      <c r="Y846" s="1711"/>
      <c r="Z846" s="1711"/>
      <c r="AA846" s="1711"/>
      <c r="AB846" s="1711"/>
      <c r="AC846" s="171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41">
        <v>46400</v>
      </c>
      <c r="X847" s="1642"/>
      <c r="Y847" s="1642"/>
      <c r="Z847" s="1642"/>
      <c r="AA847" s="1642"/>
      <c r="AB847" s="1642"/>
      <c r="AC847" s="164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433">
        <v>9280</v>
      </c>
      <c r="X849" s="1433"/>
      <c r="Y849" s="1433"/>
      <c r="Z849" s="1433"/>
      <c r="AA849" s="1433"/>
      <c r="AB849" s="1433"/>
      <c r="AC849" s="143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33">
        <v>42920</v>
      </c>
      <c r="X850" s="1433"/>
      <c r="Y850" s="1433"/>
      <c r="Z850" s="1433"/>
      <c r="AA850" s="1433"/>
      <c r="AB850" s="1433"/>
      <c r="AC850" s="143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33"/>
      <c r="X851" s="1433"/>
      <c r="Y851" s="1433"/>
      <c r="Z851" s="1433"/>
      <c r="AA851" s="1433"/>
      <c r="AB851" s="1433"/>
      <c r="AC851" s="143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33"/>
      <c r="X852" s="1433"/>
      <c r="Y852" s="1433"/>
      <c r="Z852" s="1433"/>
      <c r="AA852" s="1433"/>
      <c r="AB852" s="1433"/>
      <c r="AC852" s="1433"/>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33">
        <v>34800</v>
      </c>
      <c r="X853" s="1433"/>
      <c r="Y853" s="1433"/>
      <c r="Z853" s="1433"/>
      <c r="AA853" s="1433"/>
      <c r="AB853" s="1433"/>
      <c r="AC853" s="143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33"/>
      <c r="X854" s="1433"/>
      <c r="Y854" s="1433"/>
      <c r="Z854" s="1433"/>
      <c r="AA854" s="1433"/>
      <c r="AB854" s="1433"/>
      <c r="AC854" s="143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41" t="s">
        <v>335</v>
      </c>
      <c r="N855" s="1542"/>
      <c r="O855" s="1542"/>
      <c r="P855" s="1542"/>
      <c r="Q855" s="1542"/>
      <c r="R855" s="1542"/>
      <c r="S855" s="1542"/>
      <c r="T855" s="1542"/>
      <c r="U855" s="1542"/>
      <c r="V855" s="1543"/>
      <c r="W855" s="1433"/>
      <c r="X855" s="1433"/>
      <c r="Y855" s="1433"/>
      <c r="Z855" s="1433"/>
      <c r="AA855" s="1433"/>
      <c r="AB855" s="1433"/>
      <c r="AC855" s="143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69">
        <f>SUM(W849:AC855)</f>
        <v>87000</v>
      </c>
      <c r="X856" s="1669"/>
      <c r="Y856" s="1669"/>
      <c r="Z856" s="1669"/>
      <c r="AA856" s="1669"/>
      <c r="AB856" s="1669"/>
      <c r="AC856" s="166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170</v>
      </c>
      <c r="K858" s="5"/>
      <c r="L858" s="5"/>
      <c r="M858" s="1541" t="s">
        <v>2723</v>
      </c>
      <c r="N858" s="1542"/>
      <c r="O858" s="1542"/>
      <c r="P858" s="1542"/>
      <c r="Q858" s="1542"/>
      <c r="R858" s="1542"/>
      <c r="S858" s="1542"/>
      <c r="T858" s="1542"/>
      <c r="U858" s="1542"/>
      <c r="V858" s="1543"/>
      <c r="W858" s="1427">
        <v>2320</v>
      </c>
      <c r="X858" s="1428"/>
      <c r="Y858" s="1428"/>
      <c r="Z858" s="1428"/>
      <c r="AA858" s="1428"/>
      <c r="AB858" s="1428"/>
      <c r="AC858" s="142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170</v>
      </c>
      <c r="K859" s="5"/>
      <c r="L859" s="5"/>
      <c r="M859" s="1541" t="s">
        <v>2724</v>
      </c>
      <c r="N859" s="1542"/>
      <c r="O859" s="1542"/>
      <c r="P859" s="1542"/>
      <c r="Q859" s="1542"/>
      <c r="R859" s="1542"/>
      <c r="S859" s="1542"/>
      <c r="T859" s="1542"/>
      <c r="U859" s="1542"/>
      <c r="V859" s="1543"/>
      <c r="W859" s="1427">
        <v>6362</v>
      </c>
      <c r="X859" s="1428"/>
      <c r="Y859" s="1428"/>
      <c r="Z859" s="1428"/>
      <c r="AA859" s="1428"/>
      <c r="AB859" s="1428"/>
      <c r="AC859" s="142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41" t="s">
        <v>335</v>
      </c>
      <c r="N860" s="1542"/>
      <c r="O860" s="1542"/>
      <c r="P860" s="1542"/>
      <c r="Q860" s="1542"/>
      <c r="R860" s="1542"/>
      <c r="S860" s="1542"/>
      <c r="T860" s="1542"/>
      <c r="U860" s="1542"/>
      <c r="V860" s="1543"/>
      <c r="W860" s="1427"/>
      <c r="X860" s="1428"/>
      <c r="Y860" s="1428"/>
      <c r="Z860" s="1428"/>
      <c r="AA860" s="1428"/>
      <c r="AB860" s="1428"/>
      <c r="AC860" s="142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41" t="s">
        <v>335</v>
      </c>
      <c r="N861" s="1542"/>
      <c r="O861" s="1542"/>
      <c r="P861" s="1542"/>
      <c r="Q861" s="1542"/>
      <c r="R861" s="1542"/>
      <c r="S861" s="1542"/>
      <c r="T861" s="1542"/>
      <c r="U861" s="1542"/>
      <c r="V861" s="1543"/>
      <c r="W861" s="1427"/>
      <c r="X861" s="1428"/>
      <c r="Y861" s="1428"/>
      <c r="Z861" s="1428"/>
      <c r="AA861" s="1428"/>
      <c r="AB861" s="1428"/>
      <c r="AC861" s="142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41" t="s">
        <v>335</v>
      </c>
      <c r="N862" s="1542"/>
      <c r="O862" s="1542"/>
      <c r="P862" s="1542"/>
      <c r="Q862" s="1542"/>
      <c r="R862" s="1542"/>
      <c r="S862" s="1542"/>
      <c r="T862" s="1542"/>
      <c r="U862" s="1542"/>
      <c r="V862" s="1543"/>
      <c r="W862" s="1427"/>
      <c r="X862" s="1428"/>
      <c r="Y862" s="1428"/>
      <c r="Z862" s="1428"/>
      <c r="AA862" s="1428"/>
      <c r="AB862" s="1428"/>
      <c r="AC862" s="142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638">
        <f>SUM(W858:AC862)</f>
        <v>8682</v>
      </c>
      <c r="X863" s="1639"/>
      <c r="Y863" s="1639"/>
      <c r="Z863" s="1639"/>
      <c r="AA863" s="1639"/>
      <c r="AB863" s="1639"/>
      <c r="AC863" s="164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639">
        <f>W831+W839+W846+W847+W856+W863+W833</f>
        <v>561043</v>
      </c>
      <c r="AD867" s="1639"/>
      <c r="AE867" s="1639"/>
      <c r="AF867" s="1639"/>
      <c r="AG867" s="1639"/>
      <c r="AH867" s="164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3">
        <f>O782+O762+G739</f>
        <v>116</v>
      </c>
      <c r="AD868" s="1693"/>
      <c r="AE868" s="1693"/>
      <c r="AF868" s="1693"/>
      <c r="AG868" s="1693"/>
      <c r="AH868" s="169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1" t="s">
        <v>32</v>
      </c>
      <c r="F869" s="1691"/>
      <c r="G869" s="1691"/>
      <c r="H869" s="1691"/>
      <c r="I869" s="1691"/>
      <c r="J869" s="1691"/>
      <c r="K869" s="1691"/>
      <c r="L869" s="1691"/>
      <c r="M869" s="1691"/>
      <c r="N869" s="1691"/>
      <c r="O869" s="1691"/>
      <c r="P869" s="1691"/>
      <c r="Q869" s="1691"/>
      <c r="R869" s="1691"/>
      <c r="S869" s="1691"/>
      <c r="T869" s="1691"/>
      <c r="U869" s="1691"/>
      <c r="V869" s="1691"/>
      <c r="W869" s="1691"/>
      <c r="X869" s="1691"/>
      <c r="Y869" s="1691"/>
      <c r="Z869" s="1691"/>
      <c r="AA869" s="1691"/>
      <c r="AB869" s="1692"/>
      <c r="AC869" s="1669">
        <f>IF(ISERROR((ROUNDDOWN(AC867/AC868,0))),0,(ROUNDDOWN(AC867/AC868,0)))</f>
        <v>4836</v>
      </c>
      <c r="AD869" s="1669"/>
      <c r="AE869" s="1669"/>
      <c r="AF869" s="1669"/>
      <c r="AG869" s="1669"/>
      <c r="AH869" s="166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0"/>
      <c r="AD870" s="1721"/>
      <c r="AE870" s="1721"/>
      <c r="AF870" s="1721"/>
      <c r="AG870" s="1721"/>
      <c r="AH870" s="172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9"/>
      <c r="AD871" s="1433"/>
      <c r="AE871" s="1433"/>
      <c r="AF871" s="1433"/>
      <c r="AG871" s="1433"/>
      <c r="AH871" s="143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8">
        <v>25200</v>
      </c>
      <c r="AD872" s="1428"/>
      <c r="AE872" s="1428"/>
      <c r="AF872" s="1428"/>
      <c r="AG872" s="1428"/>
      <c r="AH872" s="142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8">
        <v>34800</v>
      </c>
      <c r="AD873" s="1428"/>
      <c r="AE873" s="1428"/>
      <c r="AF873" s="1428"/>
      <c r="AG873" s="1428"/>
      <c r="AH873" s="142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430"/>
      <c r="AD874" s="1431"/>
      <c r="AE874" s="1431"/>
      <c r="AF874" s="1431"/>
      <c r="AG874" s="1431"/>
      <c r="AH874" s="1432"/>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8">
        <v>11832</v>
      </c>
      <c r="AD875" s="1428"/>
      <c r="AE875" s="1428"/>
      <c r="AF875" s="1428"/>
      <c r="AG875" s="1428"/>
      <c r="AH875" s="142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8"/>
      <c r="AD876" s="1428"/>
      <c r="AE876" s="1428"/>
      <c r="AF876" s="1428"/>
      <c r="AG876" s="1428"/>
      <c r="AH876" s="142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6" t="s">
        <v>996</v>
      </c>
      <c r="D877" s="1707"/>
      <c r="E877" s="1707"/>
      <c r="F877" s="1707"/>
      <c r="G877" s="1707"/>
      <c r="H877" s="1707"/>
      <c r="I877" s="1707"/>
      <c r="J877" s="1707"/>
      <c r="K877" s="1707"/>
      <c r="L877" s="1707"/>
      <c r="M877" s="1707"/>
      <c r="N877" s="1707"/>
      <c r="O877" s="1707"/>
      <c r="P877" s="1707"/>
      <c r="Q877" s="1707"/>
      <c r="R877" s="1707"/>
      <c r="S877" s="1707"/>
      <c r="T877" s="1707"/>
      <c r="U877" s="1707"/>
      <c r="V877" s="1707"/>
      <c r="W877" s="1707"/>
      <c r="X877" s="1707"/>
      <c r="Y877" s="1707"/>
      <c r="Z877" s="1707"/>
      <c r="AA877" s="1707"/>
      <c r="AB877" s="1708"/>
      <c r="AC877" s="1433"/>
      <c r="AD877" s="1433"/>
      <c r="AE877" s="1433"/>
      <c r="AF877" s="1433"/>
      <c r="AG877" s="1433"/>
      <c r="AH877" s="143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6" t="s">
        <v>996</v>
      </c>
      <c r="D878" s="1707"/>
      <c r="E878" s="1707"/>
      <c r="F878" s="1707"/>
      <c r="G878" s="1707"/>
      <c r="H878" s="1707"/>
      <c r="I878" s="1707"/>
      <c r="J878" s="1707"/>
      <c r="K878" s="1707"/>
      <c r="L878" s="1707"/>
      <c r="M878" s="1707"/>
      <c r="N878" s="1707"/>
      <c r="O878" s="1707"/>
      <c r="P878" s="1707"/>
      <c r="Q878" s="1707"/>
      <c r="R878" s="1707"/>
      <c r="S878" s="1707"/>
      <c r="T878" s="1707"/>
      <c r="U878" s="1707"/>
      <c r="V878" s="1707"/>
      <c r="W878" s="1707"/>
      <c r="X878" s="1707"/>
      <c r="Y878" s="1707"/>
      <c r="Z878" s="1707"/>
      <c r="AA878" s="1707"/>
      <c r="AB878" s="1708"/>
      <c r="AC878" s="1433"/>
      <c r="AD878" s="1433"/>
      <c r="AE878" s="1433"/>
      <c r="AF878" s="1433"/>
      <c r="AG878" s="1433"/>
      <c r="AH878" s="143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427"/>
      <c r="AA882" s="1428"/>
      <c r="AB882" s="1428"/>
      <c r="AC882" s="1428"/>
      <c r="AD882" s="1428"/>
      <c r="AE882" s="142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427"/>
      <c r="AA883" s="1428"/>
      <c r="AB883" s="1428"/>
      <c r="AC883" s="1428"/>
      <c r="AD883" s="1428"/>
      <c r="AE883" s="142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427"/>
      <c r="AA884" s="1428"/>
      <c r="AB884" s="1428"/>
      <c r="AC884" s="1428"/>
      <c r="AD884" s="1428"/>
      <c r="AE884" s="142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638">
        <f>Z882-(Z883+Z884)</f>
        <v>0</v>
      </c>
      <c r="AA885" s="1639"/>
      <c r="AB885" s="1639"/>
      <c r="AC885" s="1639"/>
      <c r="AD885" s="1639"/>
      <c r="AE885" s="164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98"/>
      <c r="BE887" s="1698"/>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98"/>
      <c r="BE888" s="1698"/>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4"/>
      <c r="BE889" s="164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4"/>
      <c r="BE890" s="164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4"/>
      <c r="BE891" s="164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98"/>
      <c r="BE892" s="164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36" t="s">
        <v>97</v>
      </c>
      <c r="B893" s="1636"/>
      <c r="C893" s="1636"/>
      <c r="D893" s="1636"/>
      <c r="E893" s="1636"/>
      <c r="F893" s="1636"/>
      <c r="G893" s="1636"/>
      <c r="H893" s="1636"/>
      <c r="I893" s="1636"/>
      <c r="J893" s="1636"/>
      <c r="K893" s="1636"/>
      <c r="L893" s="1636"/>
      <c r="M893" s="1636"/>
      <c r="N893" s="1636"/>
      <c r="O893" s="1636"/>
      <c r="P893" s="1636"/>
      <c r="Q893" s="1636"/>
      <c r="R893" s="1636"/>
      <c r="S893" s="1636"/>
      <c r="T893" s="1636"/>
      <c r="U893" s="1636"/>
      <c r="V893" s="1636"/>
      <c r="W893" s="1636"/>
      <c r="X893" s="1636"/>
      <c r="Y893" s="1636"/>
      <c r="Z893" s="1636"/>
      <c r="AA893" s="1636"/>
      <c r="AB893" s="1636"/>
      <c r="AC893" s="1636"/>
      <c r="AD893" s="1636"/>
      <c r="AE893" s="1636"/>
      <c r="AF893" s="1636"/>
      <c r="AG893" s="1636"/>
      <c r="AH893" s="1636"/>
      <c r="AI893" s="1636"/>
      <c r="AJ893" s="1636"/>
      <c r="AK893" s="1636"/>
      <c r="AL893" s="1636"/>
      <c r="AM893" s="95"/>
      <c r="AN893" s="95"/>
      <c r="AO893" s="95"/>
      <c r="AP893" s="95"/>
      <c r="AQ893" s="95"/>
      <c r="AR893" s="95"/>
      <c r="AS893" s="95"/>
      <c r="AT893" s="95"/>
      <c r="AU893" s="95"/>
      <c r="AV893" s="95"/>
      <c r="AW893" s="95"/>
      <c r="AX893" s="95"/>
      <c r="AY893" s="95"/>
      <c r="AZ893" s="34"/>
      <c r="BB893" s="30"/>
      <c r="BC893" s="852"/>
      <c r="BD893" s="1714"/>
      <c r="BE893" s="1714"/>
      <c r="BF893" s="171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37"/>
      <c r="B894" s="1637"/>
      <c r="C894" s="1637"/>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7"/>
      <c r="AC894" s="1637"/>
      <c r="AD894" s="1637"/>
      <c r="AE894" s="1637"/>
      <c r="AF894" s="1637"/>
      <c r="AG894" s="1637"/>
      <c r="AH894" s="1637"/>
      <c r="AI894" s="1637"/>
      <c r="AJ894" s="1637"/>
      <c r="AK894" s="1637"/>
      <c r="AL894" s="1637"/>
      <c r="AM894" s="95"/>
      <c r="AN894" s="95"/>
      <c r="AO894" s="95"/>
      <c r="AP894" s="95"/>
      <c r="AQ894" s="95"/>
      <c r="AR894" s="95"/>
      <c r="AS894" s="95"/>
      <c r="AT894" s="95"/>
      <c r="AU894" s="95"/>
      <c r="AV894" s="95"/>
      <c r="AW894" s="95"/>
      <c r="AX894" s="95"/>
      <c r="AY894" s="95"/>
      <c r="AZ894" s="34"/>
      <c r="BB894" s="30"/>
      <c r="BC894" s="852"/>
      <c r="BD894" s="1632"/>
      <c r="BE894" s="1632"/>
      <c r="BF894" s="163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4"/>
      <c r="BE895" s="164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98"/>
      <c r="BE896" s="164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7" t="s">
        <v>816</v>
      </c>
      <c r="G898" s="1548"/>
      <c r="H898" s="1548"/>
      <c r="I898" s="1548"/>
      <c r="J898" s="1548"/>
      <c r="K898" s="1548"/>
      <c r="L898" s="1548"/>
      <c r="M898" s="1548"/>
      <c r="N898" s="1548"/>
      <c r="O898" s="1548"/>
      <c r="P898" s="1548"/>
      <c r="Q898" s="1548"/>
      <c r="R898" s="1548"/>
      <c r="S898" s="1548"/>
      <c r="T898" s="1549"/>
      <c r="U898" s="1526" t="s">
        <v>31</v>
      </c>
      <c r="V898" s="1527"/>
      <c r="W898" s="1527"/>
      <c r="X898" s="1527"/>
      <c r="Y898" s="1527"/>
      <c r="Z898" s="1527"/>
      <c r="AA898" s="43"/>
      <c r="AB898" s="105"/>
      <c r="AC898" s="105"/>
      <c r="AD898" s="105"/>
      <c r="AE898" s="105"/>
      <c r="AF898" s="106"/>
      <c r="AZ898" s="34"/>
      <c r="BA898" s="34"/>
      <c r="BB898" s="30"/>
      <c r="BC898" s="30"/>
      <c r="BD898" s="1698"/>
      <c r="BE898" s="164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8" t="s">
        <v>844</v>
      </c>
      <c r="G899" s="1529"/>
      <c r="H899" s="1529"/>
      <c r="I899" s="1529"/>
      <c r="J899" s="1529"/>
      <c r="K899" s="1529"/>
      <c r="L899" s="1529"/>
      <c r="M899" s="1529"/>
      <c r="N899" s="1529"/>
      <c r="O899" s="1529"/>
      <c r="P899" s="1529"/>
      <c r="Q899" s="1529"/>
      <c r="R899" s="1529"/>
      <c r="S899" s="1529"/>
      <c r="T899" s="1702"/>
      <c r="U899" s="1528"/>
      <c r="V899" s="1529"/>
      <c r="W899" s="1529"/>
      <c r="X899" s="1529"/>
      <c r="Y899" s="1529"/>
      <c r="Z899" s="152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0"/>
      <c r="G900" s="1531"/>
      <c r="H900" s="1531"/>
      <c r="I900" s="1531"/>
      <c r="J900" s="1531"/>
      <c r="K900" s="1531"/>
      <c r="L900" s="1531"/>
      <c r="M900" s="1531"/>
      <c r="N900" s="1531"/>
      <c r="O900" s="1531"/>
      <c r="P900" s="1531"/>
      <c r="Q900" s="1531"/>
      <c r="R900" s="1531"/>
      <c r="S900" s="1531"/>
      <c r="T900" s="1703"/>
      <c r="U900" s="1530"/>
      <c r="V900" s="1531"/>
      <c r="W900" s="1531"/>
      <c r="X900" s="1531"/>
      <c r="Y900" s="1531"/>
      <c r="Z900" s="1531"/>
      <c r="AA900" s="108"/>
      <c r="AB900" s="1553" t="s">
        <v>392</v>
      </c>
      <c r="AC900" s="1553"/>
      <c r="AD900" s="1553"/>
      <c r="AE900" s="1553"/>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23" t="s">
        <v>554</v>
      </c>
      <c r="V901" s="1524"/>
      <c r="W901" s="1524"/>
      <c r="X901" s="1524"/>
      <c r="Y901" s="1524"/>
      <c r="Z901" s="1525"/>
      <c r="AA901" s="1535">
        <v>23965000</v>
      </c>
      <c r="AB901" s="1536"/>
      <c r="AC901" s="1536"/>
      <c r="AD901" s="1536"/>
      <c r="AE901" s="1536"/>
      <c r="AF901" s="153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23" t="s">
        <v>600</v>
      </c>
      <c r="V902" s="1524"/>
      <c r="W902" s="1524"/>
      <c r="X902" s="1524"/>
      <c r="Y902" s="1524"/>
      <c r="Z902" s="1525"/>
      <c r="AA902" s="1535"/>
      <c r="AB902" s="1536"/>
      <c r="AC902" s="1536"/>
      <c r="AD902" s="1536"/>
      <c r="AE902" s="1536"/>
      <c r="AF902" s="153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23" t="s">
        <v>600</v>
      </c>
      <c r="V903" s="1524"/>
      <c r="W903" s="1524"/>
      <c r="X903" s="1524"/>
      <c r="Y903" s="1524"/>
      <c r="Z903" s="1525"/>
      <c r="AA903" s="1535"/>
      <c r="AB903" s="1536"/>
      <c r="AC903" s="1536"/>
      <c r="AD903" s="1536"/>
      <c r="AE903" s="1536"/>
      <c r="AF903" s="153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23" t="s">
        <v>600</v>
      </c>
      <c r="V904" s="1524"/>
      <c r="W904" s="1524"/>
      <c r="X904" s="1524"/>
      <c r="Y904" s="1524"/>
      <c r="Z904" s="1525"/>
      <c r="AA904" s="1535"/>
      <c r="AB904" s="1536"/>
      <c r="AC904" s="1536"/>
      <c r="AD904" s="1536"/>
      <c r="AE904" s="1536"/>
      <c r="AF904" s="153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23" t="s">
        <v>600</v>
      </c>
      <c r="V905" s="1524"/>
      <c r="W905" s="1524"/>
      <c r="X905" s="1524"/>
      <c r="Y905" s="1524"/>
      <c r="Z905" s="1525"/>
      <c r="AA905" s="1535"/>
      <c r="AB905" s="1536"/>
      <c r="AC905" s="1536"/>
      <c r="AD905" s="1536"/>
      <c r="AE905" s="1536"/>
      <c r="AF905" s="153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23" t="s">
        <v>600</v>
      </c>
      <c r="V906" s="1524"/>
      <c r="W906" s="1524"/>
      <c r="X906" s="1524"/>
      <c r="Y906" s="1524"/>
      <c r="Z906" s="1525"/>
      <c r="AA906" s="1535"/>
      <c r="AB906" s="1536"/>
      <c r="AC906" s="1536"/>
      <c r="AD906" s="1536"/>
      <c r="AE906" s="1536"/>
      <c r="AF906" s="153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23" t="s">
        <v>600</v>
      </c>
      <c r="V907" s="1524"/>
      <c r="W907" s="1524"/>
      <c r="X907" s="1524"/>
      <c r="Y907" s="1524"/>
      <c r="Z907" s="1525"/>
      <c r="AA907" s="1535"/>
      <c r="AB907" s="1536"/>
      <c r="AC907" s="1536"/>
      <c r="AD907" s="1536"/>
      <c r="AE907" s="1536"/>
      <c r="AF907" s="153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23" t="s">
        <v>600</v>
      </c>
      <c r="V908" s="1524"/>
      <c r="W908" s="1524"/>
      <c r="X908" s="1524"/>
      <c r="Y908" s="1524"/>
      <c r="Z908" s="1525"/>
      <c r="AA908" s="1535"/>
      <c r="AB908" s="1536"/>
      <c r="AC908" s="1536"/>
      <c r="AD908" s="1536"/>
      <c r="AE908" s="1536"/>
      <c r="AF908" s="153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23" t="s">
        <v>600</v>
      </c>
      <c r="V909" s="1524"/>
      <c r="W909" s="1524"/>
      <c r="X909" s="1524"/>
      <c r="Y909" s="1524"/>
      <c r="Z909" s="1525"/>
      <c r="AA909" s="1535"/>
      <c r="AB909" s="1536"/>
      <c r="AC909" s="1536"/>
      <c r="AD909" s="1536"/>
      <c r="AE909" s="1536"/>
      <c r="AF909" s="153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23" t="s">
        <v>600</v>
      </c>
      <c r="V910" s="1524"/>
      <c r="W910" s="1524"/>
      <c r="X910" s="1524"/>
      <c r="Y910" s="1524"/>
      <c r="Z910" s="1525"/>
      <c r="AA910" s="1535"/>
      <c r="AB910" s="1536"/>
      <c r="AC910" s="1536"/>
      <c r="AD910" s="1536"/>
      <c r="AE910" s="1536"/>
      <c r="AF910" s="153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23" t="s">
        <v>600</v>
      </c>
      <c r="V911" s="1524"/>
      <c r="W911" s="1524"/>
      <c r="X911" s="1524"/>
      <c r="Y911" s="1524"/>
      <c r="Z911" s="1525"/>
      <c r="AA911" s="1535"/>
      <c r="AB911" s="1536"/>
      <c r="AC911" s="1536"/>
      <c r="AD911" s="1536"/>
      <c r="AE911" s="1536"/>
      <c r="AF911" s="153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23" t="s">
        <v>600</v>
      </c>
      <c r="V912" s="1524"/>
      <c r="W912" s="1524"/>
      <c r="X912" s="1524"/>
      <c r="Y912" s="1524"/>
      <c r="Z912" s="1525"/>
      <c r="AA912" s="1535"/>
      <c r="AB912" s="1536"/>
      <c r="AC912" s="1536"/>
      <c r="AD912" s="1536"/>
      <c r="AE912" s="1536"/>
      <c r="AF912" s="153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23" t="s">
        <v>600</v>
      </c>
      <c r="V913" s="1524"/>
      <c r="W913" s="1524"/>
      <c r="X913" s="1524"/>
      <c r="Y913" s="1524"/>
      <c r="Z913" s="1525"/>
      <c r="AA913" s="1535"/>
      <c r="AB913" s="1536"/>
      <c r="AC913" s="1536"/>
      <c r="AD913" s="1536"/>
      <c r="AE913" s="1536"/>
      <c r="AF913" s="153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23" t="s">
        <v>600</v>
      </c>
      <c r="V914" s="1524"/>
      <c r="W914" s="1524"/>
      <c r="X914" s="1524"/>
      <c r="Y914" s="1524"/>
      <c r="Z914" s="1525"/>
      <c r="AA914" s="1535"/>
      <c r="AB914" s="1536"/>
      <c r="AC914" s="1536"/>
      <c r="AD914" s="1536"/>
      <c r="AE914" s="1536"/>
      <c r="AF914" s="153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23" t="s">
        <v>600</v>
      </c>
      <c r="V915" s="1524"/>
      <c r="W915" s="1524"/>
      <c r="X915" s="1524"/>
      <c r="Y915" s="1524"/>
      <c r="Z915" s="1525"/>
      <c r="AA915" s="1535"/>
      <c r="AB915" s="1536"/>
      <c r="AC915" s="1536"/>
      <c r="AD915" s="1536"/>
      <c r="AE915" s="1536"/>
      <c r="AF915" s="153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23" t="s">
        <v>678</v>
      </c>
      <c r="Q916" s="1524"/>
      <c r="R916" s="1524"/>
      <c r="S916" s="1524"/>
      <c r="T916" s="1525"/>
      <c r="U916" s="1523" t="s">
        <v>600</v>
      </c>
      <c r="V916" s="1524"/>
      <c r="W916" s="1524"/>
      <c r="X916" s="1524"/>
      <c r="Y916" s="1524"/>
      <c r="Z916" s="1525"/>
      <c r="AA916" s="1535"/>
      <c r="AB916" s="1536"/>
      <c r="AC916" s="1536"/>
      <c r="AD916" s="1536"/>
      <c r="AE916" s="1536"/>
      <c r="AF916" s="153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1" t="s">
        <v>335</v>
      </c>
      <c r="J917" s="1542"/>
      <c r="K917" s="1542"/>
      <c r="L917" s="1542"/>
      <c r="M917" s="1542"/>
      <c r="N917" s="1542"/>
      <c r="O917" s="1542"/>
      <c r="P917" s="1542"/>
      <c r="Q917" s="1542"/>
      <c r="R917" s="1542"/>
      <c r="S917" s="1542"/>
      <c r="T917" s="1543"/>
      <c r="U917" s="1523" t="s">
        <v>600</v>
      </c>
      <c r="V917" s="1524"/>
      <c r="W917" s="1524"/>
      <c r="X917" s="1524"/>
      <c r="Y917" s="1524"/>
      <c r="Z917" s="1525"/>
      <c r="AA917" s="1535"/>
      <c r="AB917" s="1536"/>
      <c r="AC917" s="1536"/>
      <c r="AD917" s="1536"/>
      <c r="AE917" s="1536"/>
      <c r="AF917" s="153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50" t="s">
        <v>335</v>
      </c>
      <c r="J918" s="1551"/>
      <c r="K918" s="1551"/>
      <c r="L918" s="1551"/>
      <c r="M918" s="1551"/>
      <c r="N918" s="1551"/>
      <c r="O918" s="1551"/>
      <c r="P918" s="1551"/>
      <c r="Q918" s="1551"/>
      <c r="R918" s="1551"/>
      <c r="S918" s="1551"/>
      <c r="T918" s="1552"/>
      <c r="U918" s="1523" t="s">
        <v>600</v>
      </c>
      <c r="V918" s="1524"/>
      <c r="W918" s="1524"/>
      <c r="X918" s="1524"/>
      <c r="Y918" s="1524"/>
      <c r="Z918" s="1525"/>
      <c r="AA918" s="1535"/>
      <c r="AB918" s="1536"/>
      <c r="AC918" s="1536"/>
      <c r="AD918" s="1536"/>
      <c r="AE918" s="1536"/>
      <c r="AF918" s="153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541" t="s">
        <v>2725</v>
      </c>
      <c r="J919" s="1551"/>
      <c r="K919" s="1551"/>
      <c r="L919" s="1551"/>
      <c r="M919" s="1551"/>
      <c r="N919" s="1551"/>
      <c r="O919" s="1551"/>
      <c r="P919" s="1551"/>
      <c r="Q919" s="1551"/>
      <c r="R919" s="1551"/>
      <c r="S919" s="1551"/>
      <c r="T919" s="1552"/>
      <c r="U919" s="1523" t="s">
        <v>554</v>
      </c>
      <c r="V919" s="1524"/>
      <c r="W919" s="1524"/>
      <c r="X919" s="1524"/>
      <c r="Y919" s="1524"/>
      <c r="Z919" s="1525"/>
      <c r="AA919" s="1535">
        <v>6800000</v>
      </c>
      <c r="AB919" s="1536"/>
      <c r="AC919" s="1536"/>
      <c r="AD919" s="1536"/>
      <c r="AE919" s="1536"/>
      <c r="AF919" s="15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541" t="s">
        <v>2652</v>
      </c>
      <c r="J920" s="1551"/>
      <c r="K920" s="1551"/>
      <c r="L920" s="1551"/>
      <c r="M920" s="1551"/>
      <c r="N920" s="1551"/>
      <c r="O920" s="1551"/>
      <c r="P920" s="1551"/>
      <c r="Q920" s="1551"/>
      <c r="R920" s="1551"/>
      <c r="S920" s="1551"/>
      <c r="T920" s="1552"/>
      <c r="U920" s="1523" t="s">
        <v>554</v>
      </c>
      <c r="V920" s="1524"/>
      <c r="W920" s="1524"/>
      <c r="X920" s="1524"/>
      <c r="Y920" s="1524"/>
      <c r="Z920" s="1525"/>
      <c r="AA920" s="1535">
        <v>3491094</v>
      </c>
      <c r="AB920" s="1536"/>
      <c r="AC920" s="1536"/>
      <c r="AD920" s="1536"/>
      <c r="AE920" s="1536"/>
      <c r="AF920" s="15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1"/>
      <c r="N925" s="1672"/>
      <c r="O925" s="1672"/>
      <c r="P925" s="1672"/>
      <c r="Q925" s="1672"/>
      <c r="R925" s="1672"/>
      <c r="S925" s="1673"/>
      <c r="U925" s="66" t="s">
        <v>11</v>
      </c>
      <c r="V925" s="5"/>
      <c r="W925" s="5"/>
      <c r="X925" s="5"/>
      <c r="Y925" s="5"/>
      <c r="Z925" s="5"/>
      <c r="AA925" s="5"/>
      <c r="AB925" s="5"/>
      <c r="AC925" s="5"/>
      <c r="AD925" s="46"/>
      <c r="AE925" s="1671"/>
      <c r="AF925" s="1672"/>
      <c r="AG925" s="1672"/>
      <c r="AH925" s="1672"/>
      <c r="AI925" s="1672"/>
      <c r="AJ925" s="1672"/>
      <c r="AK925" s="167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2"/>
      <c r="N926" s="1623"/>
      <c r="O926" s="1623"/>
      <c r="P926" s="1623"/>
      <c r="Q926" s="1623"/>
      <c r="R926" s="1623"/>
      <c r="S926" s="1624"/>
      <c r="U926" s="66" t="s">
        <v>12</v>
      </c>
      <c r="V926" s="5"/>
      <c r="W926" s="5"/>
      <c r="X926" s="5"/>
      <c r="Y926" s="5"/>
      <c r="Z926" s="5"/>
      <c r="AA926" s="5"/>
      <c r="AB926" s="5"/>
      <c r="AC926" s="5"/>
      <c r="AD926" s="46"/>
      <c r="AE926" s="1622"/>
      <c r="AF926" s="1623"/>
      <c r="AG926" s="1623"/>
      <c r="AH926" s="1623"/>
      <c r="AI926" s="1623"/>
      <c r="AJ926" s="1623"/>
      <c r="AK926" s="162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99" t="s">
        <v>308</v>
      </c>
      <c r="K927" s="1700"/>
      <c r="L927" s="1700"/>
      <c r="M927" s="1700"/>
      <c r="N927" s="1700"/>
      <c r="O927" s="1700"/>
      <c r="P927" s="1700"/>
      <c r="Q927" s="1700"/>
      <c r="R927" s="1700"/>
      <c r="S927" s="1701"/>
      <c r="U927" s="66" t="s">
        <v>909</v>
      </c>
      <c r="V927" s="5"/>
      <c r="W927" s="5"/>
      <c r="AB927" s="1699" t="s">
        <v>308</v>
      </c>
      <c r="AC927" s="1700"/>
      <c r="AD927" s="1700"/>
      <c r="AE927" s="1700"/>
      <c r="AF927" s="1700"/>
      <c r="AG927" s="1700"/>
      <c r="AH927" s="1700"/>
      <c r="AI927" s="1700"/>
      <c r="AJ927" s="1700"/>
      <c r="AK927" s="170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4"/>
      <c r="N928" s="1555"/>
      <c r="O928" s="1555"/>
      <c r="P928" s="1555"/>
      <c r="Q928" s="1555"/>
      <c r="R928" s="1555"/>
      <c r="S928" s="1556"/>
      <c r="U928" s="66" t="s">
        <v>13</v>
      </c>
      <c r="V928" s="5"/>
      <c r="W928" s="5"/>
      <c r="X928" s="5"/>
      <c r="Y928" s="5"/>
      <c r="Z928" s="5"/>
      <c r="AA928" s="5"/>
      <c r="AB928" s="5"/>
      <c r="AC928" s="5"/>
      <c r="AD928" s="46"/>
      <c r="AE928" s="1681"/>
      <c r="AF928" s="1555"/>
      <c r="AG928" s="1555"/>
      <c r="AH928" s="1555"/>
      <c r="AI928" s="1555"/>
      <c r="AJ928" s="1555"/>
      <c r="AK928" s="155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3"/>
      <c r="N929" s="1584"/>
      <c r="O929" s="1584"/>
      <c r="P929" s="1584"/>
      <c r="Q929" s="1584"/>
      <c r="R929" s="1584"/>
      <c r="S929" s="1585"/>
      <c r="U929" s="66" t="s">
        <v>14</v>
      </c>
      <c r="V929" s="5"/>
      <c r="W929" s="5"/>
      <c r="X929" s="5"/>
      <c r="Y929" s="5"/>
      <c r="Z929" s="5"/>
      <c r="AA929" s="5"/>
      <c r="AB929" s="5"/>
      <c r="AC929" s="5"/>
      <c r="AD929" s="46"/>
      <c r="AE929" s="1583"/>
      <c r="AF929" s="1584"/>
      <c r="AG929" s="1584"/>
      <c r="AH929" s="1584"/>
      <c r="AI929" s="1584"/>
      <c r="AJ929" s="1584"/>
      <c r="AK929" s="158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5"/>
      <c r="N930" s="1536"/>
      <c r="O930" s="1536"/>
      <c r="P930" s="1536"/>
      <c r="Q930" s="1536"/>
      <c r="R930" s="1536"/>
      <c r="S930" s="1537"/>
      <c r="U930" s="66" t="s">
        <v>15</v>
      </c>
      <c r="V930" s="5"/>
      <c r="W930" s="5"/>
      <c r="X930" s="5"/>
      <c r="Y930" s="5"/>
      <c r="Z930" s="5"/>
      <c r="AA930" s="5"/>
      <c r="AB930" s="5"/>
      <c r="AC930" s="5"/>
      <c r="AD930" s="46"/>
      <c r="AE930" s="1535"/>
      <c r="AF930" s="1536"/>
      <c r="AG930" s="1536"/>
      <c r="AH930" s="1536"/>
      <c r="AI930" s="1536"/>
      <c r="AJ930" s="1536"/>
      <c r="AK930" s="153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5"/>
      <c r="N931" s="1536"/>
      <c r="O931" s="1536"/>
      <c r="P931" s="1536"/>
      <c r="Q931" s="1536"/>
      <c r="R931" s="1536"/>
      <c r="S931" s="1537"/>
      <c r="U931" s="66" t="s">
        <v>16</v>
      </c>
      <c r="V931" s="5"/>
      <c r="W931" s="5"/>
      <c r="X931" s="5"/>
      <c r="Y931" s="5"/>
      <c r="Z931" s="5"/>
      <c r="AA931" s="5"/>
      <c r="AB931" s="5"/>
      <c r="AC931" s="5"/>
      <c r="AD931" s="46"/>
      <c r="AE931" s="1535"/>
      <c r="AF931" s="1536"/>
      <c r="AG931" s="1536"/>
      <c r="AH931" s="1536"/>
      <c r="AI931" s="1536"/>
      <c r="AJ931" s="1536"/>
      <c r="AK931" s="153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43"/>
      <c r="N932" s="1444"/>
      <c r="O932" s="1444"/>
      <c r="P932" s="1444"/>
      <c r="Q932" s="1444"/>
      <c r="R932" s="1444"/>
      <c r="S932" s="1445"/>
      <c r="U932" s="121" t="s">
        <v>1842</v>
      </c>
      <c r="V932" s="5"/>
      <c r="W932" s="5"/>
      <c r="X932" s="5"/>
      <c r="Y932" s="5"/>
      <c r="Z932" s="5"/>
      <c r="AA932" s="5"/>
      <c r="AB932" s="5"/>
      <c r="AC932" s="5"/>
      <c r="AD932" s="46"/>
      <c r="AE932" s="1443"/>
      <c r="AF932" s="1444"/>
      <c r="AG932" s="1444"/>
      <c r="AH932" s="1444"/>
      <c r="AI932" s="1444"/>
      <c r="AJ932" s="1444"/>
      <c r="AK932" s="144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4"/>
      <c r="N937" s="1545"/>
      <c r="O937" s="1545"/>
      <c r="P937" s="1545"/>
      <c r="Q937" s="1545"/>
      <c r="R937" s="1545"/>
      <c r="S937" s="1546"/>
      <c r="T937" s="66" t="s">
        <v>814</v>
      </c>
      <c r="U937" s="5"/>
      <c r="V937" s="5"/>
      <c r="W937" s="5"/>
      <c r="X937" s="5"/>
      <c r="Y937" s="5"/>
      <c r="Z937" s="46"/>
      <c r="AA937" s="1544"/>
      <c r="AB937" s="1545"/>
      <c r="AC937" s="1545"/>
      <c r="AD937" s="1545"/>
      <c r="AE937" s="1545"/>
      <c r="AF937" s="1545"/>
      <c r="AG937" s="154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4"/>
      <c r="N938" s="1545"/>
      <c r="O938" s="1545"/>
      <c r="P938" s="1545"/>
      <c r="Q938" s="1545"/>
      <c r="R938" s="1545"/>
      <c r="S938" s="1546"/>
      <c r="T938" s="66" t="s">
        <v>813</v>
      </c>
      <c r="U938" s="5"/>
      <c r="V938" s="5"/>
      <c r="W938" s="5"/>
      <c r="X938" s="5"/>
      <c r="Y938" s="5"/>
      <c r="Z938" s="46"/>
      <c r="AA938" s="1544"/>
      <c r="AB938" s="1545"/>
      <c r="AC938" s="1545"/>
      <c r="AD938" s="1545"/>
      <c r="AE938" s="1545"/>
      <c r="AF938" s="1545"/>
      <c r="AG938" s="154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77" t="s">
        <v>600</v>
      </c>
      <c r="N939" s="1678"/>
      <c r="O939" s="1678"/>
      <c r="P939" s="1678"/>
      <c r="Q939" s="1678"/>
      <c r="R939" s="1678"/>
      <c r="S939" s="1679"/>
      <c r="T939" s="45" t="s">
        <v>338</v>
      </c>
      <c r="U939" s="5"/>
      <c r="V939" s="5"/>
      <c r="W939" s="5"/>
      <c r="X939" s="5"/>
      <c r="Y939" s="5"/>
      <c r="Z939" s="46"/>
      <c r="AA939" s="1544"/>
      <c r="AB939" s="1545"/>
      <c r="AC939" s="1545"/>
      <c r="AD939" s="1545"/>
      <c r="AE939" s="1545"/>
      <c r="AF939" s="1545"/>
      <c r="AG939" s="154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4"/>
      <c r="N940" s="1545"/>
      <c r="O940" s="1545"/>
      <c r="P940" s="1545"/>
      <c r="Q940" s="1545"/>
      <c r="R940" s="1545"/>
      <c r="S940" s="1546"/>
      <c r="T940" s="45" t="s">
        <v>339</v>
      </c>
      <c r="U940" s="5"/>
      <c r="V940" s="5"/>
      <c r="W940" s="5"/>
      <c r="X940" s="5"/>
      <c r="Y940" s="5"/>
      <c r="Z940" s="46"/>
      <c r="AA940" s="1544"/>
      <c r="AB940" s="1545"/>
      <c r="AC940" s="1545"/>
      <c r="AD940" s="1545"/>
      <c r="AE940" s="1545"/>
      <c r="AF940" s="1545"/>
      <c r="AG940" s="154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4"/>
      <c r="N941" s="1545"/>
      <c r="O941" s="1545"/>
      <c r="P941" s="1545"/>
      <c r="Q941" s="1545"/>
      <c r="R941" s="1545"/>
      <c r="S941" s="1546"/>
      <c r="T941" s="45" t="s">
        <v>377</v>
      </c>
      <c r="U941" s="5"/>
      <c r="V941" s="5"/>
      <c r="W941" s="5"/>
      <c r="X941" s="5"/>
      <c r="Y941" s="5"/>
      <c r="Z941" s="46"/>
      <c r="AA941" s="1544"/>
      <c r="AB941" s="1545"/>
      <c r="AC941" s="1545"/>
      <c r="AD941" s="1545"/>
      <c r="AE941" s="1545"/>
      <c r="AF941" s="1545"/>
      <c r="AG941" s="154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85" t="s">
        <v>308</v>
      </c>
      <c r="N942" s="1686"/>
      <c r="O942" s="1686"/>
      <c r="P942" s="1686"/>
      <c r="Q942" s="1686"/>
      <c r="R942" s="1686"/>
      <c r="S942" s="1687"/>
      <c r="T942" s="1538"/>
      <c r="U942" s="1539"/>
      <c r="V942" s="1539"/>
      <c r="W942" s="1539"/>
      <c r="X942" s="1539"/>
      <c r="Y942" s="1539"/>
      <c r="Z942" s="1540"/>
      <c r="AA942" s="1544"/>
      <c r="AB942" s="1545"/>
      <c r="AC942" s="1545"/>
      <c r="AD942" s="1545"/>
      <c r="AE942" s="1545"/>
      <c r="AF942" s="1545"/>
      <c r="AG942" s="154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4"/>
      <c r="N943" s="1545"/>
      <c r="O943" s="1545"/>
      <c r="P943" s="1545"/>
      <c r="Q943" s="1545"/>
      <c r="R943" s="1545"/>
      <c r="S943" s="1546"/>
      <c r="T943" s="1538"/>
      <c r="U943" s="1539"/>
      <c r="V943" s="1539"/>
      <c r="W943" s="1539"/>
      <c r="X943" s="1539"/>
      <c r="Y943" s="1539"/>
      <c r="Z943" s="1540"/>
      <c r="AA943" s="1544"/>
      <c r="AB943" s="1545"/>
      <c r="AC943" s="1545"/>
      <c r="AD943" s="1545"/>
      <c r="AE943" s="1545"/>
      <c r="AF943" s="1545"/>
      <c r="AG943" s="154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674" t="s">
        <v>678</v>
      </c>
      <c r="P944" s="1675"/>
      <c r="Q944" s="92"/>
      <c r="R944" s="92"/>
      <c r="S944" s="93"/>
      <c r="T944" s="41" t="s">
        <v>170</v>
      </c>
      <c r="U944" s="42"/>
      <c r="V944" s="42"/>
      <c r="W944" s="1682" t="s">
        <v>335</v>
      </c>
      <c r="X944" s="1683"/>
      <c r="Y944" s="1683"/>
      <c r="Z944" s="1683"/>
      <c r="AA944" s="1683"/>
      <c r="AB944" s="1683"/>
      <c r="AC944" s="1683"/>
      <c r="AD944" s="1683"/>
      <c r="AE944" s="1683"/>
      <c r="AF944" s="1683"/>
      <c r="AG944" s="168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6" t="s">
        <v>33</v>
      </c>
      <c r="G945" s="1351"/>
      <c r="H945" s="1351"/>
      <c r="I945" s="1351"/>
      <c r="J945" s="1351"/>
      <c r="K945" s="1351"/>
      <c r="L945" s="1351"/>
      <c r="M945" s="1544"/>
      <c r="N945" s="1545"/>
      <c r="O945" s="1545"/>
      <c r="P945" s="1545"/>
      <c r="Q945" s="1545"/>
      <c r="R945" s="1545"/>
      <c r="S945" s="1546"/>
      <c r="T945" s="47"/>
      <c r="U945" s="48"/>
      <c r="V945" s="48"/>
      <c r="W945" s="48"/>
      <c r="X945" s="48"/>
      <c r="Y945" s="48"/>
      <c r="Z945" s="124" t="s">
        <v>135</v>
      </c>
      <c r="AA945" s="1532"/>
      <c r="AB945" s="1533"/>
      <c r="AC945" s="1533"/>
      <c r="AD945" s="1533"/>
      <c r="AE945" s="1533"/>
      <c r="AF945" s="1533"/>
      <c r="AG945" s="153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04" t="s">
        <v>557</v>
      </c>
      <c r="B949" s="1704"/>
      <c r="C949" s="1704"/>
      <c r="D949" s="1704"/>
      <c r="E949" s="1704"/>
      <c r="F949" s="1704"/>
      <c r="G949" s="1704"/>
      <c r="H949" s="1704"/>
      <c r="I949" s="1704"/>
      <c r="J949" s="1704"/>
      <c r="K949" s="1704"/>
      <c r="L949" s="1704"/>
      <c r="M949" s="1704"/>
      <c r="N949" s="1704"/>
      <c r="O949" s="1704"/>
      <c r="P949" s="1704"/>
      <c r="Q949" s="1704"/>
      <c r="R949" s="1704"/>
      <c r="S949" s="1704"/>
      <c r="T949" s="1704"/>
      <c r="U949" s="1704"/>
      <c r="V949" s="1704"/>
      <c r="W949" s="1704"/>
      <c r="X949" s="1704"/>
      <c r="Y949" s="1704"/>
      <c r="Z949" s="1704"/>
      <c r="AA949" s="1704"/>
      <c r="AB949" s="1704"/>
      <c r="AC949" s="1704"/>
      <c r="AD949" s="1704"/>
      <c r="AE949" s="1704"/>
      <c r="AF949" s="1704"/>
      <c r="AG949" s="1704"/>
      <c r="AH949" s="1704"/>
      <c r="AI949" s="1704"/>
      <c r="AJ949" s="1704"/>
      <c r="AK949" s="1704"/>
      <c r="AL949" s="1704"/>
      <c r="AM949" s="1704"/>
      <c r="AN949" s="1704"/>
      <c r="AO949" s="1704"/>
      <c r="AP949" s="1704"/>
      <c r="AQ949" s="1704"/>
      <c r="AR949" s="1704"/>
      <c r="AS949" s="170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04"/>
      <c r="B950" s="1704"/>
      <c r="C950" s="1704"/>
      <c r="D950" s="1704"/>
      <c r="E950" s="1704"/>
      <c r="F950" s="1704"/>
      <c r="G950" s="1704"/>
      <c r="H950" s="1704"/>
      <c r="I950" s="1704"/>
      <c r="J950" s="1704"/>
      <c r="K950" s="1704"/>
      <c r="L950" s="1704"/>
      <c r="M950" s="1704"/>
      <c r="N950" s="1704"/>
      <c r="O950" s="1704"/>
      <c r="P950" s="1704"/>
      <c r="Q950" s="1704"/>
      <c r="R950" s="1704"/>
      <c r="S950" s="1704"/>
      <c r="T950" s="1704"/>
      <c r="U950" s="1704"/>
      <c r="V950" s="1704"/>
      <c r="W950" s="1704"/>
      <c r="X950" s="1704"/>
      <c r="Y950" s="1704"/>
      <c r="Z950" s="1704"/>
      <c r="AA950" s="1704"/>
      <c r="AB950" s="1704"/>
      <c r="AC950" s="1704"/>
      <c r="AD950" s="1704"/>
      <c r="AE950" s="1704"/>
      <c r="AF950" s="1704"/>
      <c r="AG950" s="1704"/>
      <c r="AH950" s="1704"/>
      <c r="AI950" s="1704"/>
      <c r="AJ950" s="1704"/>
      <c r="AK950" s="1704"/>
      <c r="AL950" s="1704"/>
      <c r="AM950" s="1704"/>
      <c r="AN950" s="1704"/>
      <c r="AO950" s="1704"/>
      <c r="AP950" s="1704"/>
      <c r="AQ950" s="1704"/>
      <c r="AR950" s="1704"/>
      <c r="AS950" s="170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4"/>
      <c r="BH951" s="1644"/>
      <c r="BI951" s="1644"/>
      <c r="BJ951" s="1644"/>
      <c r="BK951" s="1644"/>
      <c r="BL951" s="164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4" t="s">
        <v>647</v>
      </c>
      <c r="E954" s="1485"/>
      <c r="F954" s="1485"/>
      <c r="G954" s="1485"/>
      <c r="H954" s="1485"/>
      <c r="I954" s="1485"/>
      <c r="J954" s="1485"/>
      <c r="K954" s="1485"/>
      <c r="L954" s="1485"/>
      <c r="M954" s="1485"/>
      <c r="N954" s="1485"/>
      <c r="O954" s="1485"/>
      <c r="P954" s="1485"/>
      <c r="Q954" s="1486"/>
      <c r="R954" s="1484" t="s">
        <v>648</v>
      </c>
      <c r="S954" s="1485"/>
      <c r="T954" s="1485"/>
      <c r="U954" s="1485"/>
      <c r="V954" s="1485"/>
      <c r="W954" s="1485"/>
      <c r="X954" s="1485"/>
      <c r="Y954" s="1485"/>
      <c r="Z954" s="1485"/>
      <c r="AA954" s="1486"/>
      <c r="AB954" s="1484" t="s">
        <v>649</v>
      </c>
      <c r="AC954" s="1485"/>
      <c r="AD954" s="1485"/>
      <c r="AE954" s="1485"/>
      <c r="AF954" s="1485"/>
      <c r="AG954" s="1485"/>
      <c r="AH954" s="1485"/>
      <c r="AI954" s="1486"/>
      <c r="AJ954" s="1484" t="s">
        <v>650</v>
      </c>
      <c r="AK954" s="1485"/>
      <c r="AL954" s="1485"/>
      <c r="AM954" s="1485"/>
      <c r="AN954" s="1485"/>
      <c r="AO954" s="1485"/>
      <c r="AP954" s="1485"/>
      <c r="AQ954" s="148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1" t="s">
        <v>642</v>
      </c>
      <c r="E955" s="1482"/>
      <c r="F955" s="1482"/>
      <c r="G955" s="1482"/>
      <c r="H955" s="1482"/>
      <c r="I955" s="1482"/>
      <c r="J955" s="1482"/>
      <c r="K955" s="1482"/>
      <c r="L955" s="1482"/>
      <c r="M955" s="1482"/>
      <c r="N955" s="1482"/>
      <c r="O955" s="1482"/>
      <c r="P955" s="1482"/>
      <c r="Q955" s="1483"/>
      <c r="R955" s="1522">
        <f>IF(ISNA(IF($BN$785="4%",(INDEX($BP$795:$BT$852,MATCH($CB$785,$BO$795:$BO$852,0),MATCH(D955,$BP$794:$BT$794,0))),(INDEX($BW$795:$CA$852,MATCH($CB$785,$BV$795:$BV$852,0),MATCH(D955,$BW$794:$CA$794,0))))),0,IF($BN$785="4%",(INDEX($BP$795:$BT$852,MATCH($CB$785,$BO$795:$BO$852,0),MATCH(D955,$BP$794:$BT$794,0))),(INDEX($BW$795:$CA$852,MATCH($CB$785,$BV$795:$BV$852,0),MATCH(D955,$BW$794:$CA$794,0)))))</f>
        <v>331890</v>
      </c>
      <c r="S955" s="1522"/>
      <c r="T955" s="1522"/>
      <c r="U955" s="1522"/>
      <c r="V955" s="1522"/>
      <c r="W955" s="1522"/>
      <c r="X955" s="1522"/>
      <c r="Y955" s="1522"/>
      <c r="Z955" s="1522"/>
      <c r="AA955" s="1522"/>
      <c r="AB955" s="1440">
        <f>BN649</f>
        <v>0</v>
      </c>
      <c r="AC955" s="1441"/>
      <c r="AD955" s="1441"/>
      <c r="AE955" s="1441"/>
      <c r="AF955" s="1441"/>
      <c r="AG955" s="1441"/>
      <c r="AH955" s="1441"/>
      <c r="AI955" s="1442"/>
      <c r="AJ955" s="1453">
        <f>IF(ISERROR((R955*AB955)),0,(R955*AB955))</f>
        <v>0</v>
      </c>
      <c r="AK955" s="1454"/>
      <c r="AL955" s="1454"/>
      <c r="AM955" s="1454"/>
      <c r="AN955" s="1454"/>
      <c r="AO955" s="1454"/>
      <c r="AP955" s="1454"/>
      <c r="AQ955" s="145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1" t="s">
        <v>326</v>
      </c>
      <c r="E956" s="1482"/>
      <c r="F956" s="1482"/>
      <c r="G956" s="1482"/>
      <c r="H956" s="1482"/>
      <c r="I956" s="1482"/>
      <c r="J956" s="1482"/>
      <c r="K956" s="1482"/>
      <c r="L956" s="1482"/>
      <c r="M956" s="1482"/>
      <c r="N956" s="1482"/>
      <c r="O956" s="1482"/>
      <c r="P956" s="1482"/>
      <c r="Q956" s="1483"/>
      <c r="R956" s="1522">
        <f>IF(ISNA(IF($BN$785="4%",(INDEX($BP$795:$BT$852,MATCH($CB$785,$BO$795:$BO$852,0),MATCH(D956,$BP$794:$BT$794,0))),(INDEX($BW$795:$CA$852,MATCH($CB$785,$BV$795:$BV$852,0),MATCH(D956,$BW$794:$CA$794,0))))),0,IF($BN$785="4%",(INDEX($BP$795:$BT$852,MATCH($CB$785,$BO$795:$BO$852,0),MATCH(D956,$BP$794:$BT$794,0))),(INDEX($BW$795:$CA$852,MATCH($CB$785,$BV$795:$BV$852,0),MATCH(D956,$BW$794:$CA$794,0)))))</f>
        <v>382666</v>
      </c>
      <c r="S956" s="1522"/>
      <c r="T956" s="1522"/>
      <c r="U956" s="1522"/>
      <c r="V956" s="1522"/>
      <c r="W956" s="1522"/>
      <c r="X956" s="1522"/>
      <c r="Y956" s="1522"/>
      <c r="Z956" s="1522"/>
      <c r="AA956" s="1522"/>
      <c r="AB956" s="1440">
        <f>BS649</f>
        <v>40</v>
      </c>
      <c r="AC956" s="1441"/>
      <c r="AD956" s="1441"/>
      <c r="AE956" s="1441"/>
      <c r="AF956" s="1441"/>
      <c r="AG956" s="1441"/>
      <c r="AH956" s="1441"/>
      <c r="AI956" s="1442"/>
      <c r="AJ956" s="1453">
        <f>IF(ISERROR((R956*AB956)),0,(R956*AB956))</f>
        <v>15306640</v>
      </c>
      <c r="AK956" s="1454"/>
      <c r="AL956" s="1454"/>
      <c r="AM956" s="1454"/>
      <c r="AN956" s="1454"/>
      <c r="AO956" s="1454"/>
      <c r="AP956" s="1454"/>
      <c r="AQ956" s="145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1" t="s">
        <v>164</v>
      </c>
      <c r="E957" s="1482"/>
      <c r="F957" s="1482"/>
      <c r="G957" s="1482"/>
      <c r="H957" s="1482"/>
      <c r="I957" s="1482"/>
      <c r="J957" s="1482"/>
      <c r="K957" s="1482"/>
      <c r="L957" s="1482"/>
      <c r="M957" s="1482"/>
      <c r="N957" s="1482"/>
      <c r="O957" s="1482"/>
      <c r="P957" s="1482"/>
      <c r="Q957" s="1483"/>
      <c r="R957" s="1522">
        <f>IF(ISNA(IF($BN$785="4%",(INDEX($BP$795:$BT$852,MATCH($CB$785,$BO$795:$BO$852,0),MATCH(D957,$BP$794:$BT$794,0))),(INDEX($BW$795:$CA$852,MATCH($CB$785,$BV$795:$BV$852,0),MATCH(D957,$BW$794:$CA$794,0))))),0,IF($BN$785="4%",(INDEX($BP$795:$BT$852,MATCH($CB$785,$BO$795:$BO$852,0),MATCH(D957,$BP$794:$BT$794,0))),(INDEX($BW$795:$CA$852,MATCH($CB$785,$BV$795:$BV$852,0),MATCH(D957,$BW$794:$CA$794,0)))))</f>
        <v>461600</v>
      </c>
      <c r="S957" s="1522"/>
      <c r="T957" s="1522"/>
      <c r="U957" s="1522"/>
      <c r="V957" s="1522"/>
      <c r="W957" s="1522"/>
      <c r="X957" s="1522"/>
      <c r="Y957" s="1522"/>
      <c r="Z957" s="1522"/>
      <c r="AA957" s="1522"/>
      <c r="AB957" s="1440">
        <f>BX649</f>
        <v>47</v>
      </c>
      <c r="AC957" s="1441"/>
      <c r="AD957" s="1441"/>
      <c r="AE957" s="1441"/>
      <c r="AF957" s="1441"/>
      <c r="AG957" s="1441"/>
      <c r="AH957" s="1441"/>
      <c r="AI957" s="1442"/>
      <c r="AJ957" s="1453">
        <f>IF(ISERROR((R957*AB957)),0,(R957*AB957))</f>
        <v>21695200</v>
      </c>
      <c r="AK957" s="1454"/>
      <c r="AL957" s="1454"/>
      <c r="AM957" s="1454"/>
      <c r="AN957" s="1454"/>
      <c r="AO957" s="1454"/>
      <c r="AP957" s="1454"/>
      <c r="AQ957" s="145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1" t="s">
        <v>165</v>
      </c>
      <c r="E958" s="1482"/>
      <c r="F958" s="1482"/>
      <c r="G958" s="1482"/>
      <c r="H958" s="1482"/>
      <c r="I958" s="1482"/>
      <c r="J958" s="1482"/>
      <c r="K958" s="1482"/>
      <c r="L958" s="1482"/>
      <c r="M958" s="1482"/>
      <c r="N958" s="1482"/>
      <c r="O958" s="1482"/>
      <c r="P958" s="1482"/>
      <c r="Q958" s="1483"/>
      <c r="R958" s="1522">
        <f>IF(ISNA(IF($BN$785="4%",(INDEX($BP$795:$BT$852,MATCH($CB$785,$BO$795:$BO$852,0),MATCH(D958,$BP$794:$BT$794,0))),(INDEX($BW$795:$CA$852,MATCH($CB$785,$BV$795:$BV$852,0),MATCH(D958,$BW$794:$CA$794,0))))),0,IF($BN$785="4%",(INDEX($BP$795:$BT$852,MATCH($CB$785,$BO$795:$BO$852,0),MATCH(D958,$BP$794:$BT$794,0))),(INDEX($BW$795:$CA$852,MATCH($CB$785,$BV$795:$BV$852,0),MATCH(D958,$BW$794:$CA$794,0)))))</f>
        <v>590848</v>
      </c>
      <c r="S958" s="1522"/>
      <c r="T958" s="1522"/>
      <c r="U958" s="1522"/>
      <c r="V958" s="1522"/>
      <c r="W958" s="1522"/>
      <c r="X958" s="1522"/>
      <c r="Y958" s="1522"/>
      <c r="Z958" s="1522"/>
      <c r="AA958" s="1522"/>
      <c r="AB958" s="1440">
        <f>CC649</f>
        <v>29</v>
      </c>
      <c r="AC958" s="1441"/>
      <c r="AD958" s="1441"/>
      <c r="AE958" s="1441"/>
      <c r="AF958" s="1441"/>
      <c r="AG958" s="1441"/>
      <c r="AH958" s="1441"/>
      <c r="AI958" s="1442"/>
      <c r="AJ958" s="1453">
        <f>IF(ISERROR((R958*AB958)),0,(R958*AB958))</f>
        <v>17134592</v>
      </c>
      <c r="AK958" s="1454"/>
      <c r="AL958" s="1454"/>
      <c r="AM958" s="1454"/>
      <c r="AN958" s="1454"/>
      <c r="AO958" s="1454"/>
      <c r="AP958" s="1454"/>
      <c r="AQ958" s="145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1" t="s">
        <v>469</v>
      </c>
      <c r="E959" s="1482"/>
      <c r="F959" s="1482"/>
      <c r="G959" s="1482"/>
      <c r="H959" s="1482"/>
      <c r="I959" s="1482"/>
      <c r="J959" s="1482"/>
      <c r="K959" s="1482"/>
      <c r="L959" s="1482"/>
      <c r="M959" s="1482"/>
      <c r="N959" s="1482"/>
      <c r="O959" s="1482"/>
      <c r="P959" s="1482"/>
      <c r="Q959" s="1483"/>
      <c r="R959" s="1522">
        <f>IF(ISNA(IF($BN$785="4%",(INDEX($BP$795:$BT$852,MATCH($CB$785,$BO$795:$BO$852,0),MATCH(D959,$BP$794:$BT$794,0))),(INDEX($BW$795:$CA$852,MATCH($CB$785,$BV$795:$BV$852,0),MATCH(D959,$BW$794:$CA$794,0))))),0,IF($BN$785="4%",(INDEX($BP$795:$BT$852,MATCH($CB$785,$BO$795:$BO$852,0),MATCH(D959,$BP$794:$BT$794,0))),(INDEX($BW$795:$CA$852,MATCH($CB$785,$BV$795:$BV$852,0),MATCH(D959,$BW$794:$CA$794,0)))))</f>
        <v>658242</v>
      </c>
      <c r="S959" s="1522"/>
      <c r="T959" s="1522"/>
      <c r="U959" s="1522"/>
      <c r="V959" s="1522"/>
      <c r="W959" s="1522"/>
      <c r="X959" s="1522"/>
      <c r="Y959" s="1522"/>
      <c r="Z959" s="1522"/>
      <c r="AA959" s="1522"/>
      <c r="AB959" s="1440">
        <f>CM649+CH649</f>
        <v>0</v>
      </c>
      <c r="AC959" s="1441"/>
      <c r="AD959" s="1441"/>
      <c r="AE959" s="1441"/>
      <c r="AF959" s="1441"/>
      <c r="AG959" s="1441"/>
      <c r="AH959" s="1441"/>
      <c r="AI959" s="1442"/>
      <c r="AJ959" s="1453">
        <f>IF(ISERROR((R959*AB959)),0,(R959*AB959))</f>
        <v>0</v>
      </c>
      <c r="AK959" s="1454"/>
      <c r="AL959" s="1454"/>
      <c r="AM959" s="1454"/>
      <c r="AN959" s="1454"/>
      <c r="AO959" s="1454"/>
      <c r="AP959" s="1454"/>
      <c r="AQ959" s="145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1" t="s">
        <v>815</v>
      </c>
      <c r="C960" s="1502"/>
      <c r="D960" s="1502"/>
      <c r="E960" s="1502"/>
      <c r="F960" s="1502"/>
      <c r="G960" s="1502"/>
      <c r="H960" s="1502"/>
      <c r="I960" s="1502"/>
      <c r="J960" s="1502"/>
      <c r="K960" s="1502"/>
      <c r="L960" s="1502"/>
      <c r="M960" s="1502"/>
      <c r="N960" s="1502"/>
      <c r="O960" s="1502"/>
      <c r="P960" s="1502"/>
      <c r="Q960" s="1502"/>
      <c r="R960" s="1502"/>
      <c r="S960" s="1502"/>
      <c r="T960" s="1502"/>
      <c r="U960" s="1502"/>
      <c r="V960" s="1502"/>
      <c r="W960" s="1502"/>
      <c r="X960" s="1502"/>
      <c r="Y960" s="1502"/>
      <c r="Z960" s="1502"/>
      <c r="AA960" s="1503"/>
      <c r="AB960" s="1440">
        <f>SUM(AB955:AI959)</f>
        <v>116</v>
      </c>
      <c r="AC960" s="1441"/>
      <c r="AD960" s="1441"/>
      <c r="AE960" s="1441"/>
      <c r="AF960" s="1441"/>
      <c r="AG960" s="1441"/>
      <c r="AH960" s="1441"/>
      <c r="AI960" s="1442"/>
      <c r="AJ960" s="1453"/>
      <c r="AK960" s="1454"/>
      <c r="AL960" s="1454"/>
      <c r="AM960" s="1454"/>
      <c r="AN960" s="1454"/>
      <c r="AO960" s="1454"/>
      <c r="AP960" s="1454"/>
      <c r="AQ960" s="145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9" t="s">
        <v>521</v>
      </c>
      <c r="C961" s="1520"/>
      <c r="D961" s="1520"/>
      <c r="E961" s="1520"/>
      <c r="F961" s="1520"/>
      <c r="G961" s="1520"/>
      <c r="H961" s="1520"/>
      <c r="I961" s="1520"/>
      <c r="J961" s="1520"/>
      <c r="K961" s="1520"/>
      <c r="L961" s="1520"/>
      <c r="M961" s="1520"/>
      <c r="N961" s="1520"/>
      <c r="O961" s="1520"/>
      <c r="P961" s="1520"/>
      <c r="Q961" s="1520"/>
      <c r="R961" s="1520"/>
      <c r="S961" s="1520"/>
      <c r="T961" s="1520"/>
      <c r="U961" s="1520"/>
      <c r="V961" s="1520"/>
      <c r="W961" s="1520"/>
      <c r="X961" s="1520"/>
      <c r="Y961" s="1520"/>
      <c r="Z961" s="1520"/>
      <c r="AA961" s="1520"/>
      <c r="AB961" s="1520"/>
      <c r="AC961" s="1520"/>
      <c r="AD961" s="1520"/>
      <c r="AE961" s="1520"/>
      <c r="AF961" s="1520"/>
      <c r="AG961" s="1520"/>
      <c r="AH961" s="1520"/>
      <c r="AI961" s="1521"/>
      <c r="AJ961" s="1453">
        <f>SUM(AJ955:AQ959)</f>
        <v>54136432</v>
      </c>
      <c r="AK961" s="1454"/>
      <c r="AL961" s="1454"/>
      <c r="AM961" s="1454"/>
      <c r="AN961" s="1454"/>
      <c r="AO961" s="1454"/>
      <c r="AP961" s="1454"/>
      <c r="AQ961" s="145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6"/>
      <c r="C962" s="1457"/>
      <c r="D962" s="1457"/>
      <c r="E962" s="1457"/>
      <c r="F962" s="1457"/>
      <c r="G962" s="1457"/>
      <c r="H962" s="1457"/>
      <c r="I962" s="1457"/>
      <c r="J962" s="1457"/>
      <c r="K962" s="1457"/>
      <c r="L962" s="1457"/>
      <c r="M962" s="1457"/>
      <c r="N962" s="1457"/>
      <c r="O962" s="1457"/>
      <c r="P962" s="1457"/>
      <c r="Q962" s="1457"/>
      <c r="R962" s="1457"/>
      <c r="S962" s="1457"/>
      <c r="T962" s="1457"/>
      <c r="U962" s="1457"/>
      <c r="V962" s="1457"/>
      <c r="W962" s="1457"/>
      <c r="X962" s="1457"/>
      <c r="Y962" s="1457"/>
      <c r="Z962" s="1457"/>
      <c r="AA962" s="1457"/>
      <c r="AB962" s="1457"/>
      <c r="AC962" s="1457"/>
      <c r="AD962" s="1457"/>
      <c r="AE962" s="1458"/>
      <c r="AF962" s="1462" t="s">
        <v>675</v>
      </c>
      <c r="AG962" s="1463"/>
      <c r="AH962" s="1463"/>
      <c r="AI962" s="1464"/>
      <c r="AJ962" s="1456"/>
      <c r="AK962" s="1457"/>
      <c r="AL962" s="1457"/>
      <c r="AM962" s="1457"/>
      <c r="AN962" s="1457"/>
      <c r="AO962" s="1457"/>
      <c r="AP962" s="1457"/>
      <c r="AQ962" s="145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9" t="s">
        <v>1364</v>
      </c>
      <c r="E963" s="1470"/>
      <c r="F963" s="1470"/>
      <c r="G963" s="1470"/>
      <c r="H963" s="1470"/>
      <c r="I963" s="1470"/>
      <c r="J963" s="1470"/>
      <c r="K963" s="1470"/>
      <c r="L963" s="1470"/>
      <c r="M963" s="1470"/>
      <c r="N963" s="1470"/>
      <c r="O963" s="1470"/>
      <c r="P963" s="1470"/>
      <c r="Q963" s="1470"/>
      <c r="R963" s="1470"/>
      <c r="S963" s="1470"/>
      <c r="T963" s="1470"/>
      <c r="U963" s="1470"/>
      <c r="V963" s="1470"/>
      <c r="W963" s="1470"/>
      <c r="X963" s="1470"/>
      <c r="Y963" s="1470"/>
      <c r="Z963" s="1470"/>
      <c r="AA963" s="1470"/>
      <c r="AB963" s="1470"/>
      <c r="AC963" s="1470"/>
      <c r="AD963" s="1470"/>
      <c r="AE963" s="1471"/>
      <c r="AF963" s="79"/>
      <c r="AG963" s="1465" t="s">
        <v>678</v>
      </c>
      <c r="AH963" s="1466"/>
      <c r="AI963" s="87"/>
      <c r="AJ963" s="1492">
        <f>ROUND(IF(AND(AG963="yes",D965&gt;0),AJ961*0.2,0),0)</f>
        <v>0</v>
      </c>
      <c r="AK963" s="1493"/>
      <c r="AL963" s="1493"/>
      <c r="AM963" s="1493"/>
      <c r="AN963" s="1493"/>
      <c r="AO963" s="1493"/>
      <c r="AP963" s="1493"/>
      <c r="AQ963" s="149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4" t="s">
        <v>1365</v>
      </c>
      <c r="E964" s="1505"/>
      <c r="F964" s="1505"/>
      <c r="G964" s="1505"/>
      <c r="H964" s="1505"/>
      <c r="I964" s="1505"/>
      <c r="J964" s="1505"/>
      <c r="K964" s="1505"/>
      <c r="L964" s="1505"/>
      <c r="M964" s="1505"/>
      <c r="N964" s="1505"/>
      <c r="O964" s="1505"/>
      <c r="P964" s="1505"/>
      <c r="Q964" s="1505"/>
      <c r="R964" s="1505"/>
      <c r="S964" s="1505"/>
      <c r="T964" s="1505"/>
      <c r="U964" s="1505"/>
      <c r="V964" s="1505"/>
      <c r="W964" s="1505"/>
      <c r="X964" s="1505"/>
      <c r="Y964" s="1505"/>
      <c r="Z964" s="1505"/>
      <c r="AA964" s="1505"/>
      <c r="AB964" s="1505"/>
      <c r="AC964" s="1505"/>
      <c r="AD964" s="1505"/>
      <c r="AE964" s="1506"/>
      <c r="AF964" s="73"/>
      <c r="AG964" s="14"/>
      <c r="AH964" s="14"/>
      <c r="AI964" s="83"/>
      <c r="AJ964" s="1495"/>
      <c r="AK964" s="1496"/>
      <c r="AL964" s="1496"/>
      <c r="AM964" s="1496"/>
      <c r="AN964" s="1496"/>
      <c r="AO964" s="1496"/>
      <c r="AP964" s="1496"/>
      <c r="AQ964" s="149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7"/>
      <c r="E965" s="1508"/>
      <c r="F965" s="1508"/>
      <c r="G965" s="1508"/>
      <c r="H965" s="1508"/>
      <c r="I965" s="1508"/>
      <c r="J965" s="1508"/>
      <c r="K965" s="1508"/>
      <c r="L965" s="1508"/>
      <c r="M965" s="1508"/>
      <c r="N965" s="1508"/>
      <c r="O965" s="1508"/>
      <c r="P965" s="1508"/>
      <c r="Q965" s="1508"/>
      <c r="R965" s="1508"/>
      <c r="S965" s="1508"/>
      <c r="T965" s="1508"/>
      <c r="U965" s="1508"/>
      <c r="V965" s="1508"/>
      <c r="W965" s="1508"/>
      <c r="X965" s="1508"/>
      <c r="Y965" s="1508"/>
      <c r="Z965" s="1508"/>
      <c r="AA965" s="1508"/>
      <c r="AB965" s="1508"/>
      <c r="AC965" s="1508"/>
      <c r="AD965" s="1508"/>
      <c r="AE965" s="1509"/>
      <c r="AF965" s="77"/>
      <c r="AG965" s="7"/>
      <c r="AH965" s="7"/>
      <c r="AI965" s="78"/>
      <c r="AJ965" s="1498"/>
      <c r="AK965" s="1499"/>
      <c r="AL965" s="1499"/>
      <c r="AM965" s="1499"/>
      <c r="AN965" s="1499"/>
      <c r="AO965" s="1499"/>
      <c r="AP965" s="1499"/>
      <c r="AQ965" s="150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9" t="s">
        <v>1450</v>
      </c>
      <c r="E966" s="1460"/>
      <c r="F966" s="1460"/>
      <c r="G966" s="1460"/>
      <c r="H966" s="1460"/>
      <c r="I966" s="1460"/>
      <c r="J966" s="1460"/>
      <c r="K966" s="1460"/>
      <c r="L966" s="1460"/>
      <c r="M966" s="1460"/>
      <c r="N966" s="1460"/>
      <c r="O966" s="1460"/>
      <c r="P966" s="1460"/>
      <c r="Q966" s="1460"/>
      <c r="R966" s="1460"/>
      <c r="S966" s="1460"/>
      <c r="T966" s="1460"/>
      <c r="U966" s="1460"/>
      <c r="V966" s="1460"/>
      <c r="W966" s="1460"/>
      <c r="X966" s="1460"/>
      <c r="Y966" s="1460"/>
      <c r="Z966" s="1460"/>
      <c r="AA966" s="1460"/>
      <c r="AB966" s="1460"/>
      <c r="AC966" s="1460"/>
      <c r="AD966" s="1460"/>
      <c r="AE966" s="1461"/>
      <c r="AF966" s="79"/>
      <c r="AG966" s="1467" t="s">
        <v>678</v>
      </c>
      <c r="AH966" s="1468"/>
      <c r="AI966" s="87"/>
      <c r="AJ966" s="1492">
        <f>ROUND(IF(AG966="yes",AJ961*0.05,0),0)</f>
        <v>0</v>
      </c>
      <c r="AK966" s="1493"/>
      <c r="AL966" s="1493"/>
      <c r="AM966" s="1493"/>
      <c r="AN966" s="1493"/>
      <c r="AO966" s="1493"/>
      <c r="AP966" s="1493"/>
      <c r="AQ966" s="149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4" t="s">
        <v>1448</v>
      </c>
      <c r="E967" s="1505"/>
      <c r="F967" s="1505"/>
      <c r="G967" s="1505"/>
      <c r="H967" s="1505"/>
      <c r="I967" s="1505"/>
      <c r="J967" s="1505"/>
      <c r="K967" s="1505"/>
      <c r="L967" s="1505"/>
      <c r="M967" s="1505"/>
      <c r="N967" s="1505"/>
      <c r="O967" s="1505"/>
      <c r="P967" s="1505"/>
      <c r="Q967" s="1505"/>
      <c r="R967" s="1505"/>
      <c r="S967" s="1505"/>
      <c r="T967" s="1505"/>
      <c r="U967" s="1505"/>
      <c r="V967" s="1505"/>
      <c r="W967" s="1505"/>
      <c r="X967" s="1505"/>
      <c r="Y967" s="1505"/>
      <c r="Z967" s="1505"/>
      <c r="AA967" s="1505"/>
      <c r="AB967" s="1505"/>
      <c r="AC967" s="1505"/>
      <c r="AD967" s="1505"/>
      <c r="AE967" s="1506"/>
      <c r="AF967" s="73"/>
      <c r="AG967" s="14"/>
      <c r="AH967" s="14"/>
      <c r="AI967" s="83"/>
      <c r="AJ967" s="1495"/>
      <c r="AK967" s="1496"/>
      <c r="AL967" s="1496"/>
      <c r="AM967" s="1496"/>
      <c r="AN967" s="1496"/>
      <c r="AO967" s="1496"/>
      <c r="AP967" s="1496"/>
      <c r="AQ967" s="149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4"/>
      <c r="E968" s="1505"/>
      <c r="F968" s="1505"/>
      <c r="G968" s="1505"/>
      <c r="H968" s="1505"/>
      <c r="I968" s="1505"/>
      <c r="J968" s="1505"/>
      <c r="K968" s="1505"/>
      <c r="L968" s="1505"/>
      <c r="M968" s="1505"/>
      <c r="N968" s="1505"/>
      <c r="O968" s="1505"/>
      <c r="P968" s="1505"/>
      <c r="Q968" s="1505"/>
      <c r="R968" s="1505"/>
      <c r="S968" s="1505"/>
      <c r="T968" s="1505"/>
      <c r="U968" s="1505"/>
      <c r="V968" s="1505"/>
      <c r="W968" s="1505"/>
      <c r="X968" s="1505"/>
      <c r="Y968" s="1505"/>
      <c r="Z968" s="1505"/>
      <c r="AA968" s="1505"/>
      <c r="AB968" s="1505"/>
      <c r="AC968" s="1505"/>
      <c r="AD968" s="1505"/>
      <c r="AE968" s="1506"/>
      <c r="AF968" s="73"/>
      <c r="AG968" s="14"/>
      <c r="AH968" s="14"/>
      <c r="AI968" s="83"/>
      <c r="AJ968" s="1495"/>
      <c r="AK968" s="1496"/>
      <c r="AL968" s="1496"/>
      <c r="AM968" s="1496"/>
      <c r="AN968" s="1496"/>
      <c r="AO968" s="1496"/>
      <c r="AP968" s="1496"/>
      <c r="AQ968" s="149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4"/>
      <c r="E969" s="1505"/>
      <c r="F969" s="1505"/>
      <c r="G969" s="1505"/>
      <c r="H969" s="1505"/>
      <c r="I969" s="1505"/>
      <c r="J969" s="1505"/>
      <c r="K969" s="1505"/>
      <c r="L969" s="1505"/>
      <c r="M969" s="1505"/>
      <c r="N969" s="1505"/>
      <c r="O969" s="1505"/>
      <c r="P969" s="1505"/>
      <c r="Q969" s="1505"/>
      <c r="R969" s="1505"/>
      <c r="S969" s="1505"/>
      <c r="T969" s="1505"/>
      <c r="U969" s="1505"/>
      <c r="V969" s="1505"/>
      <c r="W969" s="1505"/>
      <c r="X969" s="1505"/>
      <c r="Y969" s="1505"/>
      <c r="Z969" s="1505"/>
      <c r="AA969" s="1505"/>
      <c r="AB969" s="1505"/>
      <c r="AC969" s="1505"/>
      <c r="AD969" s="1505"/>
      <c r="AE969" s="1506"/>
      <c r="AF969" s="73"/>
      <c r="AG969" s="14"/>
      <c r="AH969" s="14"/>
      <c r="AI969" s="83"/>
      <c r="AJ969" s="1495"/>
      <c r="AK969" s="1496"/>
      <c r="AL969" s="1496"/>
      <c r="AM969" s="1496"/>
      <c r="AN969" s="1496"/>
      <c r="AO969" s="1496"/>
      <c r="AP969" s="1496"/>
      <c r="AQ969" s="149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4"/>
      <c r="E970" s="1505"/>
      <c r="F970" s="1505"/>
      <c r="G970" s="1505"/>
      <c r="H970" s="1505"/>
      <c r="I970" s="1505"/>
      <c r="J970" s="1505"/>
      <c r="K970" s="1505"/>
      <c r="L970" s="1505"/>
      <c r="M970" s="1505"/>
      <c r="N970" s="1505"/>
      <c r="O970" s="1505"/>
      <c r="P970" s="1505"/>
      <c r="Q970" s="1505"/>
      <c r="R970" s="1505"/>
      <c r="S970" s="1505"/>
      <c r="T970" s="1505"/>
      <c r="U970" s="1505"/>
      <c r="V970" s="1505"/>
      <c r="W970" s="1505"/>
      <c r="X970" s="1505"/>
      <c r="Y970" s="1505"/>
      <c r="Z970" s="1505"/>
      <c r="AA970" s="1505"/>
      <c r="AB970" s="1505"/>
      <c r="AC970" s="1505"/>
      <c r="AD970" s="1505"/>
      <c r="AE970" s="1506"/>
      <c r="AF970" s="73"/>
      <c r="AG970" s="14"/>
      <c r="AH970" s="14"/>
      <c r="AI970" s="83"/>
      <c r="AJ970" s="1495"/>
      <c r="AK970" s="1496"/>
      <c r="AL970" s="1496"/>
      <c r="AM970" s="1496"/>
      <c r="AN970" s="1496"/>
      <c r="AO970" s="1496"/>
      <c r="AP970" s="1496"/>
      <c r="AQ970" s="149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0"/>
      <c r="E971" s="1511"/>
      <c r="F971" s="1511"/>
      <c r="G971" s="1511"/>
      <c r="H971" s="1511"/>
      <c r="I971" s="1511"/>
      <c r="J971" s="1511"/>
      <c r="K971" s="1511"/>
      <c r="L971" s="1511"/>
      <c r="M971" s="1511"/>
      <c r="N971" s="1511"/>
      <c r="O971" s="1511"/>
      <c r="P971" s="1511"/>
      <c r="Q971" s="1511"/>
      <c r="R971" s="1511"/>
      <c r="S971" s="1511"/>
      <c r="T971" s="1511"/>
      <c r="U971" s="1511"/>
      <c r="V971" s="1511"/>
      <c r="W971" s="1511"/>
      <c r="X971" s="1511"/>
      <c r="Y971" s="1511"/>
      <c r="Z971" s="1511"/>
      <c r="AA971" s="1511"/>
      <c r="AB971" s="1511"/>
      <c r="AC971" s="1511"/>
      <c r="AD971" s="1511"/>
      <c r="AE971" s="1512"/>
      <c r="AF971" s="77"/>
      <c r="AG971" s="7"/>
      <c r="AH971" s="7"/>
      <c r="AI971" s="78"/>
      <c r="AJ971" s="1498"/>
      <c r="AK971" s="1499"/>
      <c r="AL971" s="1499"/>
      <c r="AM971" s="1499"/>
      <c r="AN971" s="1499"/>
      <c r="AO971" s="1499"/>
      <c r="AP971" s="1499"/>
      <c r="AQ971" s="150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9" t="s">
        <v>1943</v>
      </c>
      <c r="E972" s="1460"/>
      <c r="F972" s="1460"/>
      <c r="G972" s="1460"/>
      <c r="H972" s="1460"/>
      <c r="I972" s="1460"/>
      <c r="J972" s="1460"/>
      <c r="K972" s="1460"/>
      <c r="L972" s="1460"/>
      <c r="M972" s="1460"/>
      <c r="N972" s="1460"/>
      <c r="O972" s="1460"/>
      <c r="P972" s="1460"/>
      <c r="Q972" s="1460"/>
      <c r="R972" s="1460"/>
      <c r="S972" s="1460"/>
      <c r="T972" s="1460"/>
      <c r="U972" s="1460"/>
      <c r="V972" s="1460"/>
      <c r="W972" s="1460"/>
      <c r="X972" s="1460"/>
      <c r="Y972" s="1460"/>
      <c r="Z972" s="1460"/>
      <c r="AA972" s="1460"/>
      <c r="AB972" s="1460"/>
      <c r="AC972" s="1460"/>
      <c r="AD972" s="1460"/>
      <c r="AE972" s="1461"/>
      <c r="AF972" s="86"/>
      <c r="AG972" s="1467" t="s">
        <v>678</v>
      </c>
      <c r="AH972" s="1468"/>
      <c r="AI972" s="87"/>
      <c r="AJ972" s="1492">
        <f>ROUND(IF(AG972="yes",AJ961*0.1,0),0)</f>
        <v>0</v>
      </c>
      <c r="AK972" s="1493"/>
      <c r="AL972" s="1493"/>
      <c r="AM972" s="1493"/>
      <c r="AN972" s="1493"/>
      <c r="AO972" s="1493"/>
      <c r="AP972" s="1493"/>
      <c r="AQ972" s="149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7" t="s">
        <v>1449</v>
      </c>
      <c r="E973" s="1448"/>
      <c r="F973" s="1448"/>
      <c r="G973" s="1448"/>
      <c r="H973" s="1448"/>
      <c r="I973" s="1448"/>
      <c r="J973" s="1448"/>
      <c r="K973" s="1448"/>
      <c r="L973" s="1448"/>
      <c r="M973" s="1448"/>
      <c r="N973" s="1448"/>
      <c r="O973" s="1448"/>
      <c r="P973" s="1448"/>
      <c r="Q973" s="1448"/>
      <c r="R973" s="1448"/>
      <c r="S973" s="1448"/>
      <c r="T973" s="1448"/>
      <c r="U973" s="1448"/>
      <c r="V973" s="1448"/>
      <c r="W973" s="1448"/>
      <c r="X973" s="1448"/>
      <c r="Y973" s="1448"/>
      <c r="Z973" s="1448"/>
      <c r="AA973" s="1448"/>
      <c r="AB973" s="1448"/>
      <c r="AC973" s="1448"/>
      <c r="AD973" s="1448"/>
      <c r="AE973" s="1449"/>
      <c r="AF973" s="73"/>
      <c r="AI973" s="83"/>
      <c r="AJ973" s="1495"/>
      <c r="AK973" s="1496"/>
      <c r="AL973" s="1496"/>
      <c r="AM973" s="1496"/>
      <c r="AN973" s="1496"/>
      <c r="AO973" s="1496"/>
      <c r="AP973" s="1496"/>
      <c r="AQ973" s="1497"/>
      <c r="AR973" s="68"/>
      <c r="AS973" s="68"/>
      <c r="AT973" s="68"/>
      <c r="AU973" s="68"/>
      <c r="AV973" s="68"/>
      <c r="AW973" s="68"/>
      <c r="AX973" s="68"/>
      <c r="AY973" s="68"/>
      <c r="AZ973" s="34"/>
      <c r="BA973" s="951">
        <f>G739+O782</f>
        <v>115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7"/>
      <c r="E974" s="1448"/>
      <c r="F974" s="1448"/>
      <c r="G974" s="1448"/>
      <c r="H974" s="1448"/>
      <c r="I974" s="1448"/>
      <c r="J974" s="1448"/>
      <c r="K974" s="1448"/>
      <c r="L974" s="1448"/>
      <c r="M974" s="1448"/>
      <c r="N974" s="1448"/>
      <c r="O974" s="1448"/>
      <c r="P974" s="1448"/>
      <c r="Q974" s="1448"/>
      <c r="R974" s="1448"/>
      <c r="S974" s="1448"/>
      <c r="T974" s="1448"/>
      <c r="U974" s="1448"/>
      <c r="V974" s="1448"/>
      <c r="W974" s="1448"/>
      <c r="X974" s="1448"/>
      <c r="Y974" s="1448"/>
      <c r="Z974" s="1448"/>
      <c r="AA974" s="1448"/>
      <c r="AB974" s="1448"/>
      <c r="AC974" s="1448"/>
      <c r="AD974" s="1448"/>
      <c r="AE974" s="1449"/>
      <c r="AF974" s="73"/>
      <c r="AG974" s="14"/>
      <c r="AH974" s="14"/>
      <c r="AI974" s="83"/>
      <c r="AJ974" s="1495"/>
      <c r="AK974" s="1496"/>
      <c r="AL974" s="1496"/>
      <c r="AM974" s="1496"/>
      <c r="AN974" s="1496"/>
      <c r="AO974" s="1496"/>
      <c r="AP974" s="1496"/>
      <c r="AQ974" s="149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2"/>
      <c r="E975" s="1473"/>
      <c r="F975" s="1473"/>
      <c r="G975" s="1473"/>
      <c r="H975" s="1473"/>
      <c r="I975" s="1473"/>
      <c r="J975" s="1473"/>
      <c r="K975" s="1473"/>
      <c r="L975" s="1473"/>
      <c r="M975" s="1473"/>
      <c r="N975" s="1473"/>
      <c r="O975" s="1473"/>
      <c r="P975" s="1473"/>
      <c r="Q975" s="1473"/>
      <c r="R975" s="1473"/>
      <c r="S975" s="1473"/>
      <c r="T975" s="1473"/>
      <c r="U975" s="1473"/>
      <c r="V975" s="1473"/>
      <c r="W975" s="1473"/>
      <c r="X975" s="1473"/>
      <c r="Y975" s="1473"/>
      <c r="Z975" s="1473"/>
      <c r="AA975" s="1473"/>
      <c r="AB975" s="1473"/>
      <c r="AC975" s="1473"/>
      <c r="AD975" s="1473"/>
      <c r="AE975" s="1474"/>
      <c r="AF975" s="77"/>
      <c r="AG975" s="7"/>
      <c r="AH975" s="7"/>
      <c r="AI975" s="78"/>
      <c r="AJ975" s="1498"/>
      <c r="AK975" s="1499"/>
      <c r="AL975" s="1499"/>
      <c r="AM975" s="1499"/>
      <c r="AN975" s="1499"/>
      <c r="AO975" s="1499"/>
      <c r="AP975" s="1499"/>
      <c r="AQ975" s="1500"/>
      <c r="AR975" s="68"/>
      <c r="AS975" s="68"/>
      <c r="AT975" s="68"/>
      <c r="AU975" s="68"/>
      <c r="AV975" s="68"/>
      <c r="AW975" s="68"/>
      <c r="AX975" s="68"/>
      <c r="AY975" s="68"/>
      <c r="AZ975" s="34"/>
      <c r="BA975" s="950">
        <f>ROUNDDOWN(X1013/I1013,2)</f>
        <v>0.35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459" t="s">
        <v>1451</v>
      </c>
      <c r="E976" s="1460"/>
      <c r="F976" s="1460"/>
      <c r="G976" s="1460"/>
      <c r="H976" s="1460"/>
      <c r="I976" s="1460"/>
      <c r="J976" s="1460"/>
      <c r="K976" s="1460"/>
      <c r="L976" s="1460"/>
      <c r="M976" s="1460"/>
      <c r="N976" s="1460"/>
      <c r="O976" s="1460"/>
      <c r="P976" s="1460"/>
      <c r="Q976" s="1460"/>
      <c r="R976" s="1460"/>
      <c r="S976" s="1460"/>
      <c r="T976" s="1460"/>
      <c r="U976" s="1460"/>
      <c r="V976" s="1460"/>
      <c r="W976" s="1460"/>
      <c r="X976" s="1460"/>
      <c r="Y976" s="1460"/>
      <c r="Z976" s="1460"/>
      <c r="AA976" s="1460"/>
      <c r="AB976" s="1460"/>
      <c r="AC976" s="1460"/>
      <c r="AD976" s="1460"/>
      <c r="AE976" s="1461"/>
      <c r="AF976" s="79"/>
      <c r="AG976" s="1467" t="s">
        <v>678</v>
      </c>
      <c r="AH976" s="1468"/>
      <c r="AI976" s="87"/>
      <c r="AJ976" s="1492">
        <f>ROUND(IF(AG976="yes",AJ961*0.02,0),0)</f>
        <v>0</v>
      </c>
      <c r="AK976" s="1493"/>
      <c r="AL976" s="1493"/>
      <c r="AM976" s="1493"/>
      <c r="AN976" s="1493"/>
      <c r="AO976" s="1493"/>
      <c r="AP976" s="1493"/>
      <c r="AQ976" s="1494"/>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2" t="s">
        <v>1452</v>
      </c>
      <c r="E977" s="1473"/>
      <c r="F977" s="1473"/>
      <c r="G977" s="1473"/>
      <c r="H977" s="1473"/>
      <c r="I977" s="1473"/>
      <c r="J977" s="1473"/>
      <c r="K977" s="1473"/>
      <c r="L977" s="1473"/>
      <c r="M977" s="1473"/>
      <c r="N977" s="1473"/>
      <c r="O977" s="1473"/>
      <c r="P977" s="1473"/>
      <c r="Q977" s="1473"/>
      <c r="R977" s="1473"/>
      <c r="S977" s="1473"/>
      <c r="T977" s="1473"/>
      <c r="U977" s="1473"/>
      <c r="V977" s="1473"/>
      <c r="W977" s="1473"/>
      <c r="X977" s="1473"/>
      <c r="Y977" s="1473"/>
      <c r="Z977" s="1473"/>
      <c r="AA977" s="1473"/>
      <c r="AB977" s="1473"/>
      <c r="AC977" s="1473"/>
      <c r="AD977" s="1473"/>
      <c r="AE977" s="1474"/>
      <c r="AF977" s="77"/>
      <c r="AG977" s="7"/>
      <c r="AH977" s="7"/>
      <c r="AI977" s="78"/>
      <c r="AJ977" s="1498"/>
      <c r="AK977" s="1499"/>
      <c r="AL977" s="1499"/>
      <c r="AM977" s="1499"/>
      <c r="AN977" s="1499"/>
      <c r="AO977" s="1499"/>
      <c r="AP977" s="1499"/>
      <c r="AQ977" s="1500"/>
      <c r="AR977" s="68"/>
      <c r="AS977" s="68"/>
      <c r="AT977" s="68"/>
      <c r="AU977" s="68"/>
      <c r="AV977" s="68"/>
      <c r="AW977" s="68"/>
      <c r="AX977" s="68"/>
      <c r="AY977" s="68"/>
      <c r="BB977" s="34"/>
      <c r="BC977" s="34"/>
      <c r="BD977" s="34"/>
      <c r="BE977" s="34"/>
      <c r="BF977" s="34"/>
    </row>
    <row r="978" spans="1:58" ht="12.95" customHeight="1">
      <c r="A978" s="14"/>
      <c r="B978" s="79"/>
      <c r="C978" s="80" t="s">
        <v>216</v>
      </c>
      <c r="D978" s="1459" t="s">
        <v>1453</v>
      </c>
      <c r="E978" s="1460"/>
      <c r="F978" s="1460"/>
      <c r="G978" s="1460"/>
      <c r="H978" s="1460"/>
      <c r="I978" s="1460"/>
      <c r="J978" s="1460"/>
      <c r="K978" s="1460"/>
      <c r="L978" s="1460"/>
      <c r="M978" s="1460"/>
      <c r="N978" s="1460"/>
      <c r="O978" s="1460"/>
      <c r="P978" s="1460"/>
      <c r="Q978" s="1460"/>
      <c r="R978" s="1460"/>
      <c r="S978" s="1460"/>
      <c r="T978" s="1460"/>
      <c r="U978" s="1460"/>
      <c r="V978" s="1460"/>
      <c r="W978" s="1460"/>
      <c r="X978" s="1460"/>
      <c r="Y978" s="1460"/>
      <c r="Z978" s="1460"/>
      <c r="AA978" s="1460"/>
      <c r="AB978" s="1460"/>
      <c r="AC978" s="1460"/>
      <c r="AD978" s="1460"/>
      <c r="AE978" s="1461"/>
      <c r="AF978" s="79"/>
      <c r="AG978" s="1467" t="s">
        <v>678</v>
      </c>
      <c r="AH978" s="1468"/>
      <c r="AI978" s="79"/>
      <c r="AJ978" s="1492">
        <f>ROUND(IF(AG978="yes",AJ961*0.02,0),0)</f>
        <v>0</v>
      </c>
      <c r="AK978" s="1493"/>
      <c r="AL978" s="1493"/>
      <c r="AM978" s="1493"/>
      <c r="AN978" s="1493"/>
      <c r="AO978" s="1493"/>
      <c r="AP978" s="1493"/>
      <c r="AQ978" s="1494"/>
      <c r="AR978" s="68"/>
      <c r="AS978" s="68"/>
      <c r="AT978" s="68"/>
      <c r="AU978" s="68"/>
      <c r="AV978" s="68"/>
      <c r="AW978" s="68"/>
      <c r="AX978" s="68"/>
      <c r="AY978" s="68"/>
    </row>
    <row r="979" spans="1:58" ht="12.95" customHeight="1">
      <c r="A979" s="14"/>
      <c r="B979" s="73"/>
      <c r="C979" s="74"/>
      <c r="D979" s="1447" t="s">
        <v>1454</v>
      </c>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c r="AA979" s="1448"/>
      <c r="AB979" s="1448"/>
      <c r="AC979" s="1448"/>
      <c r="AD979" s="1448"/>
      <c r="AE979" s="1449"/>
      <c r="AF979" s="73"/>
      <c r="AI979" s="14"/>
      <c r="AJ979" s="1495"/>
      <c r="AK979" s="1496"/>
      <c r="AL979" s="1496"/>
      <c r="AM979" s="1496"/>
      <c r="AN979" s="1496"/>
      <c r="AO979" s="1496"/>
      <c r="AP979" s="1496"/>
      <c r="AQ979" s="1497"/>
      <c r="AR979" s="68"/>
      <c r="AS979" s="68"/>
      <c r="AT979" s="68"/>
      <c r="AU979" s="68"/>
      <c r="AV979" s="68"/>
      <c r="AW979" s="68"/>
      <c r="AX979" s="68"/>
      <c r="AY979" s="68"/>
    </row>
    <row r="980" spans="1:58" ht="12.95" customHeight="1">
      <c r="A980" s="14"/>
      <c r="B980" s="75"/>
      <c r="C980" s="76"/>
      <c r="D980" s="1472"/>
      <c r="E980" s="1473"/>
      <c r="F980" s="1473"/>
      <c r="G980" s="1473"/>
      <c r="H980" s="1473"/>
      <c r="I980" s="1473"/>
      <c r="J980" s="1473"/>
      <c r="K980" s="1473"/>
      <c r="L980" s="1473"/>
      <c r="M980" s="1473"/>
      <c r="N980" s="1473"/>
      <c r="O980" s="1473"/>
      <c r="P980" s="1473"/>
      <c r="Q980" s="1473"/>
      <c r="R980" s="1473"/>
      <c r="S980" s="1473"/>
      <c r="T980" s="1473"/>
      <c r="U980" s="1473"/>
      <c r="V980" s="1473"/>
      <c r="W980" s="1473"/>
      <c r="X980" s="1473"/>
      <c r="Y980" s="1473"/>
      <c r="Z980" s="1473"/>
      <c r="AA980" s="1473"/>
      <c r="AB980" s="1473"/>
      <c r="AC980" s="1473"/>
      <c r="AD980" s="1473"/>
      <c r="AE980" s="1474"/>
      <c r="AF980" s="77"/>
      <c r="AG980" s="7"/>
      <c r="AH980" s="7"/>
      <c r="AI980" s="78"/>
      <c r="AJ980" s="1498"/>
      <c r="AK980" s="1499"/>
      <c r="AL980" s="1499"/>
      <c r="AM980" s="1499"/>
      <c r="AN980" s="1499"/>
      <c r="AO980" s="1499"/>
      <c r="AP980" s="1499"/>
      <c r="AQ980" s="1500"/>
      <c r="AR980" s="68"/>
      <c r="AS980" s="68"/>
      <c r="AT980" s="68"/>
      <c r="AU980" s="68"/>
      <c r="AV980" s="68"/>
      <c r="AW980" s="68"/>
      <c r="AX980" s="68"/>
      <c r="AY980" s="68"/>
    </row>
    <row r="981" spans="1:58" ht="12.95" customHeight="1">
      <c r="A981" s="14"/>
      <c r="B981" s="79"/>
      <c r="C981" s="80" t="s">
        <v>219</v>
      </c>
      <c r="D981" s="1469" t="s">
        <v>1455</v>
      </c>
      <c r="E981" s="1470"/>
      <c r="F981" s="1470"/>
      <c r="G981" s="1470"/>
      <c r="H981" s="1470"/>
      <c r="I981" s="1470"/>
      <c r="J981" s="1470"/>
      <c r="K981" s="1470"/>
      <c r="L981" s="1470"/>
      <c r="M981" s="1470"/>
      <c r="N981" s="1470"/>
      <c r="O981" s="1470"/>
      <c r="P981" s="1470"/>
      <c r="Q981" s="1470"/>
      <c r="R981" s="1470"/>
      <c r="S981" s="1470"/>
      <c r="T981" s="1470"/>
      <c r="U981" s="1470"/>
      <c r="V981" s="1470"/>
      <c r="W981" s="1470"/>
      <c r="X981" s="1470"/>
      <c r="Y981" s="1470"/>
      <c r="Z981" s="1470"/>
      <c r="AA981" s="1470"/>
      <c r="AB981" s="1470"/>
      <c r="AC981" s="1470"/>
      <c r="AD981" s="1470"/>
      <c r="AE981" s="1471"/>
      <c r="AF981" s="79"/>
      <c r="AG981" s="1467" t="s">
        <v>678</v>
      </c>
      <c r="AH981" s="1468"/>
      <c r="AI981" s="87"/>
      <c r="AJ981" s="1492">
        <f>IF(AG981="yes",AJ961*BA981,0)</f>
        <v>0</v>
      </c>
      <c r="AK981" s="1493"/>
      <c r="AL981" s="1493"/>
      <c r="AM981" s="1493"/>
      <c r="AN981" s="1493"/>
      <c r="AO981" s="1493"/>
      <c r="AP981" s="1493"/>
      <c r="AQ981" s="1494"/>
      <c r="AR981" s="68"/>
      <c r="AS981" s="68"/>
      <c r="AT981" s="68"/>
      <c r="AU981" s="68"/>
      <c r="AV981" s="68"/>
      <c r="AW981" s="68"/>
      <c r="AX981" s="68"/>
      <c r="AY981" s="68"/>
      <c r="BA981" s="215">
        <f>IF(SUM(BA983:BA991)&lt;=0.1,SUM(BA983:BA991),0.1)</f>
        <v>0</v>
      </c>
    </row>
    <row r="982" spans="1:58" ht="12.95" customHeight="1">
      <c r="A982" s="14"/>
      <c r="B982" s="73"/>
      <c r="C982" s="74"/>
      <c r="D982" s="1447" t="s">
        <v>1456</v>
      </c>
      <c r="E982" s="1448"/>
      <c r="F982" s="1448"/>
      <c r="G982" s="1448"/>
      <c r="H982" s="1448"/>
      <c r="I982" s="1448"/>
      <c r="J982" s="1448"/>
      <c r="K982" s="1448"/>
      <c r="L982" s="1448"/>
      <c r="M982" s="1448"/>
      <c r="N982" s="1448"/>
      <c r="O982" s="1448"/>
      <c r="P982" s="1448"/>
      <c r="Q982" s="1448"/>
      <c r="R982" s="1448"/>
      <c r="S982" s="1448"/>
      <c r="T982" s="1448"/>
      <c r="U982" s="1448"/>
      <c r="V982" s="1448"/>
      <c r="W982" s="1448"/>
      <c r="X982" s="1448"/>
      <c r="Y982" s="1448"/>
      <c r="Z982" s="1448"/>
      <c r="AA982" s="1448"/>
      <c r="AB982" s="1448"/>
      <c r="AC982" s="1448"/>
      <c r="AD982" s="1448"/>
      <c r="AE982" s="1449"/>
      <c r="AF982" s="73"/>
      <c r="AG982" s="14"/>
      <c r="AH982" s="14"/>
      <c r="AI982" s="83"/>
      <c r="AJ982" s="1495"/>
      <c r="AK982" s="1496"/>
      <c r="AL982" s="1496"/>
      <c r="AM982" s="1496"/>
      <c r="AN982" s="1496"/>
      <c r="AO982" s="1496"/>
      <c r="AP982" s="1496"/>
      <c r="AQ982" s="1497"/>
      <c r="AR982" s="68"/>
      <c r="AS982" s="68"/>
      <c r="AT982" s="68"/>
      <c r="AU982" s="68"/>
      <c r="AV982" s="68"/>
      <c r="AW982" s="68"/>
      <c r="AX982" s="68"/>
      <c r="AY982" s="68"/>
    </row>
    <row r="983" spans="1:58" ht="12.95" customHeight="1">
      <c r="A983" s="14"/>
      <c r="B983" s="73"/>
      <c r="C983" s="74"/>
      <c r="D983" s="1447"/>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c r="AA983" s="1448"/>
      <c r="AB983" s="1448"/>
      <c r="AC983" s="1448"/>
      <c r="AD983" s="1448"/>
      <c r="AE983" s="1449"/>
      <c r="AF983" s="73"/>
      <c r="AG983" s="14"/>
      <c r="AH983" s="14"/>
      <c r="AI983" s="83"/>
      <c r="AJ983" s="1495"/>
      <c r="AK983" s="1496"/>
      <c r="AL983" s="1496"/>
      <c r="AM983" s="1496"/>
      <c r="AN983" s="1496"/>
      <c r="AO983" s="1496"/>
      <c r="AP983" s="1496"/>
      <c r="AQ983" s="1497"/>
      <c r="AR983" s="68"/>
      <c r="AS983" s="68"/>
      <c r="AT983" s="68"/>
      <c r="AU983" s="68"/>
      <c r="AV983" s="68"/>
      <c r="AW983" s="68"/>
      <c r="AX983" s="68"/>
      <c r="AY983" s="68"/>
      <c r="BA983" s="213">
        <f>IF(A1030="Yes",0.05,0)</f>
        <v>0</v>
      </c>
    </row>
    <row r="984" spans="1:58" ht="12.95" customHeight="1">
      <c r="A984" s="14"/>
      <c r="B984" s="81"/>
      <c r="C984" s="82"/>
      <c r="D984" s="1472"/>
      <c r="E984" s="1473"/>
      <c r="F984" s="1473"/>
      <c r="G984" s="1473"/>
      <c r="H984" s="1473"/>
      <c r="I984" s="1473"/>
      <c r="J984" s="1473"/>
      <c r="K984" s="1473"/>
      <c r="L984" s="1473"/>
      <c r="M984" s="1473"/>
      <c r="N984" s="1473"/>
      <c r="O984" s="1473"/>
      <c r="P984" s="1473"/>
      <c r="Q984" s="1473"/>
      <c r="R984" s="1473"/>
      <c r="S984" s="1473"/>
      <c r="T984" s="1473"/>
      <c r="U984" s="1473"/>
      <c r="V984" s="1473"/>
      <c r="W984" s="1473"/>
      <c r="X984" s="1473"/>
      <c r="Y984" s="1473"/>
      <c r="Z984" s="1473"/>
      <c r="AA984" s="1473"/>
      <c r="AB984" s="1473"/>
      <c r="AC984" s="1473"/>
      <c r="AD984" s="1473"/>
      <c r="AE984" s="1474"/>
      <c r="AF984" s="77"/>
      <c r="AG984" s="7"/>
      <c r="AH984" s="7"/>
      <c r="AI984" s="78"/>
      <c r="AJ984" s="1498"/>
      <c r="AK984" s="1499"/>
      <c r="AL984" s="1499"/>
      <c r="AM984" s="1499"/>
      <c r="AN984" s="1499"/>
      <c r="AO984" s="1499"/>
      <c r="AP984" s="1499"/>
      <c r="AQ984" s="1500"/>
      <c r="AR984" s="68"/>
      <c r="AS984" s="68"/>
      <c r="AT984" s="68"/>
      <c r="AU984" s="68"/>
      <c r="AV984" s="68"/>
      <c r="AW984" s="68"/>
      <c r="AX984" s="68"/>
      <c r="AY984" s="68"/>
      <c r="BA984" s="213">
        <f>IF(A1036="Yes",0.02,0)</f>
        <v>0</v>
      </c>
    </row>
    <row r="985" spans="1:58" ht="12.95" customHeight="1">
      <c r="A985" s="14"/>
      <c r="B985" s="79"/>
      <c r="C985" s="80" t="s">
        <v>224</v>
      </c>
      <c r="D985" s="1513" t="s">
        <v>1457</v>
      </c>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c r="AB985" s="1514"/>
      <c r="AC985" s="1514"/>
      <c r="AD985" s="1514"/>
      <c r="AE985" s="1515"/>
      <c r="AF985" s="79"/>
      <c r="AG985" s="1467" t="s">
        <v>678</v>
      </c>
      <c r="AH985" s="1468"/>
      <c r="AI985" s="87"/>
      <c r="AJ985" s="1492">
        <f>ROUND(IF(AG985="Yes",MIN(AF988,(0.15*AJ961)),0),0)</f>
        <v>0</v>
      </c>
      <c r="AK985" s="1493"/>
      <c r="AL985" s="1493"/>
      <c r="AM985" s="1493"/>
      <c r="AN985" s="1493"/>
      <c r="AO985" s="1493"/>
      <c r="AP985" s="1493"/>
      <c r="AQ985" s="1494"/>
      <c r="AR985" s="68"/>
      <c r="AS985" s="68"/>
      <c r="AT985" s="68"/>
      <c r="AU985" s="68"/>
      <c r="AV985" s="68"/>
      <c r="AW985" s="68"/>
      <c r="AX985" s="68"/>
      <c r="AY985" s="68"/>
      <c r="BA985" s="213">
        <f>IF(A1042="Yes",0.04,0)</f>
        <v>0</v>
      </c>
    </row>
    <row r="986" spans="1:58" ht="12.95" customHeight="1">
      <c r="A986" s="14"/>
      <c r="B986" s="81"/>
      <c r="C986" s="84"/>
      <c r="D986" s="1516"/>
      <c r="E986" s="1517"/>
      <c r="F986" s="1517"/>
      <c r="G986" s="1517"/>
      <c r="H986" s="1517"/>
      <c r="I986" s="1517"/>
      <c r="J986" s="1517"/>
      <c r="K986" s="1517"/>
      <c r="L986" s="1517"/>
      <c r="M986" s="1517"/>
      <c r="N986" s="1517"/>
      <c r="O986" s="1517"/>
      <c r="P986" s="1517"/>
      <c r="Q986" s="1517"/>
      <c r="R986" s="1517"/>
      <c r="S986" s="1517"/>
      <c r="T986" s="1517"/>
      <c r="U986" s="1517"/>
      <c r="V986" s="1517"/>
      <c r="W986" s="1517"/>
      <c r="X986" s="1517"/>
      <c r="Y986" s="1517"/>
      <c r="Z986" s="1517"/>
      <c r="AA986" s="1517"/>
      <c r="AB986" s="1517"/>
      <c r="AC986" s="1517"/>
      <c r="AD986" s="1517"/>
      <c r="AE986" s="1518"/>
      <c r="AF986" s="1475" t="str">
        <f>IF(AG985="yes","Please Select Type and Enter Amount:","")</f>
        <v/>
      </c>
      <c r="AG986" s="1476"/>
      <c r="AH986" s="1476"/>
      <c r="AI986" s="1477"/>
      <c r="AJ986" s="1495"/>
      <c r="AK986" s="1496"/>
      <c r="AL986" s="1496"/>
      <c r="AM986" s="1496"/>
      <c r="AN986" s="1496"/>
      <c r="AO986" s="1496"/>
      <c r="AP986" s="1496"/>
      <c r="AQ986" s="1497"/>
      <c r="AR986" s="68"/>
      <c r="AS986" s="68"/>
      <c r="AT986" s="68"/>
      <c r="AU986" s="68"/>
      <c r="AV986" s="68"/>
      <c r="AW986" s="68"/>
      <c r="AX986" s="68"/>
      <c r="AY986" s="68"/>
      <c r="BA986" s="213">
        <f>IF(A1049="Yes",0.04,0)</f>
        <v>0</v>
      </c>
    </row>
    <row r="987" spans="1:58" ht="12.95" customHeight="1">
      <c r="A987" s="14"/>
      <c r="B987" s="81"/>
      <c r="C987" s="84"/>
      <c r="D987" s="1447" t="s">
        <v>1458</v>
      </c>
      <c r="E987" s="1448"/>
      <c r="F987" s="1448"/>
      <c r="G987" s="1448"/>
      <c r="H987" s="1448"/>
      <c r="I987" s="1448"/>
      <c r="J987" s="1448"/>
      <c r="K987" s="1448"/>
      <c r="L987" s="1448"/>
      <c r="M987" s="1448"/>
      <c r="N987" s="1448"/>
      <c r="O987" s="1448"/>
      <c r="P987" s="1448"/>
      <c r="Q987" s="1448"/>
      <c r="R987" s="1448"/>
      <c r="S987" s="1448"/>
      <c r="T987" s="1448"/>
      <c r="U987" s="1448"/>
      <c r="V987" s="1448"/>
      <c r="W987" s="1448"/>
      <c r="X987" s="1448"/>
      <c r="Y987" s="1448"/>
      <c r="Z987" s="1448"/>
      <c r="AA987" s="1448"/>
      <c r="AB987" s="1448"/>
      <c r="AC987" s="1448"/>
      <c r="AD987" s="1448"/>
      <c r="AE987" s="1449"/>
      <c r="AF987" s="1475"/>
      <c r="AG987" s="1476"/>
      <c r="AH987" s="1476"/>
      <c r="AI987" s="1477"/>
      <c r="AJ987" s="1495"/>
      <c r="AK987" s="1496"/>
      <c r="AL987" s="1496"/>
      <c r="AM987" s="1496"/>
      <c r="AN987" s="1496"/>
      <c r="AO987" s="1496"/>
      <c r="AP987" s="1496"/>
      <c r="AQ987" s="1497"/>
      <c r="AR987" s="68"/>
      <c r="AS987" s="68"/>
      <c r="AT987" s="68"/>
      <c r="AU987" s="68"/>
      <c r="AV987" s="68"/>
      <c r="AW987" s="68"/>
      <c r="AX987" s="68"/>
      <c r="AY987" s="68"/>
      <c r="BA987" s="213">
        <f>IF(A1052="Yes",0.01,0)</f>
        <v>0</v>
      </c>
    </row>
    <row r="988" spans="1:58" ht="12.95" customHeight="1">
      <c r="A988" s="14"/>
      <c r="B988" s="81"/>
      <c r="C988" s="84"/>
      <c r="D988" s="1447"/>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c r="AA988" s="1448"/>
      <c r="AB988" s="1448"/>
      <c r="AC988" s="1448"/>
      <c r="AD988" s="1448"/>
      <c r="AE988" s="1449"/>
      <c r="AF988" s="1439"/>
      <c r="AG988" s="1439"/>
      <c r="AH988" s="1439"/>
      <c r="AI988" s="1439"/>
      <c r="AJ988" s="1495"/>
      <c r="AK988" s="1496"/>
      <c r="AL988" s="1496"/>
      <c r="AM988" s="1496"/>
      <c r="AN988" s="1496"/>
      <c r="AO988" s="1496"/>
      <c r="AP988" s="1496"/>
      <c r="AQ988" s="1497"/>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450" t="s">
        <v>600</v>
      </c>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1439"/>
      <c r="AG989" s="1439"/>
      <c r="AH989" s="1439"/>
      <c r="AI989" s="1439"/>
      <c r="AJ989" s="1498"/>
      <c r="AK989" s="1499"/>
      <c r="AL989" s="1499"/>
      <c r="AM989" s="1499"/>
      <c r="AN989" s="1499"/>
      <c r="AO989" s="1499"/>
      <c r="AP989" s="1499"/>
      <c r="AQ989" s="1500"/>
      <c r="AR989" s="68"/>
      <c r="AS989" s="68"/>
      <c r="AT989" s="68"/>
      <c r="AU989" s="68"/>
      <c r="AV989" s="68"/>
      <c r="AW989" s="68"/>
      <c r="AX989" s="68"/>
      <c r="AY989" s="68"/>
      <c r="BA989" s="213">
        <f>IF(A1060="Yes",0.01,0)</f>
        <v>0</v>
      </c>
    </row>
    <row r="990" spans="1:58" ht="12.95" customHeight="1">
      <c r="A990" s="14"/>
      <c r="B990" s="79"/>
      <c r="C990" s="80" t="s">
        <v>230</v>
      </c>
      <c r="D990" s="1459" t="s">
        <v>1459</v>
      </c>
      <c r="E990" s="1460"/>
      <c r="F990" s="1460"/>
      <c r="G990" s="1460"/>
      <c r="H990" s="1460"/>
      <c r="I990" s="1460"/>
      <c r="J990" s="1460"/>
      <c r="K990" s="1460"/>
      <c r="L990" s="1460"/>
      <c r="M990" s="1460"/>
      <c r="N990" s="1460"/>
      <c r="O990" s="1460"/>
      <c r="P990" s="1460"/>
      <c r="Q990" s="1460"/>
      <c r="R990" s="1460"/>
      <c r="S990" s="1460"/>
      <c r="T990" s="1460"/>
      <c r="U990" s="1460"/>
      <c r="V990" s="1460"/>
      <c r="W990" s="1460"/>
      <c r="X990" s="1460"/>
      <c r="Y990" s="1460"/>
      <c r="Z990" s="1460"/>
      <c r="AA990" s="1460"/>
      <c r="AB990" s="1460"/>
      <c r="AC990" s="1460"/>
      <c r="AD990" s="1460"/>
      <c r="AE990" s="1461"/>
      <c r="AF990" s="79"/>
      <c r="AG990" s="1467" t="s">
        <v>554</v>
      </c>
      <c r="AH990" s="1468"/>
      <c r="AI990" s="87"/>
      <c r="AJ990" s="1492">
        <f>ROUND(IF(AG990="Yes",AF992,0),0)</f>
        <v>5676580</v>
      </c>
      <c r="AK990" s="1493"/>
      <c r="AL990" s="1493"/>
      <c r="AM990" s="1493"/>
      <c r="AN990" s="1493"/>
      <c r="AO990" s="1493"/>
      <c r="AP990" s="1493"/>
      <c r="AQ990" s="1494"/>
      <c r="AR990" s="68"/>
      <c r="AS990" s="68"/>
      <c r="AT990" s="68"/>
      <c r="AU990" s="68"/>
      <c r="AV990" s="68"/>
      <c r="AW990" s="68"/>
      <c r="AX990" s="68"/>
      <c r="AY990" s="68"/>
      <c r="BA990" s="213">
        <f>IF(A1064="Yes",0.02,0)</f>
        <v>0</v>
      </c>
    </row>
    <row r="991" spans="1:58" ht="12.95" customHeight="1">
      <c r="A991" s="14"/>
      <c r="B991" s="73"/>
      <c r="C991" s="74"/>
      <c r="D991" s="1447" t="s">
        <v>1950</v>
      </c>
      <c r="E991" s="1448"/>
      <c r="F991" s="1448"/>
      <c r="G991" s="1448"/>
      <c r="H991" s="1448"/>
      <c r="I991" s="1448"/>
      <c r="J991" s="1448"/>
      <c r="K991" s="1448"/>
      <c r="L991" s="1448"/>
      <c r="M991" s="1448"/>
      <c r="N991" s="1448"/>
      <c r="O991" s="1448"/>
      <c r="P991" s="1448"/>
      <c r="Q991" s="1448"/>
      <c r="R991" s="1448"/>
      <c r="S991" s="1448"/>
      <c r="T991" s="1448"/>
      <c r="U991" s="1448"/>
      <c r="V991" s="1448"/>
      <c r="W991" s="1448"/>
      <c r="X991" s="1448"/>
      <c r="Y991" s="1448"/>
      <c r="Z991" s="1448"/>
      <c r="AA991" s="1448"/>
      <c r="AB991" s="1448"/>
      <c r="AC991" s="1448"/>
      <c r="AD991" s="1448"/>
      <c r="AE991" s="1449"/>
      <c r="AF991" s="1478" t="str">
        <f>IF(AG990="yes","Enter Amount:","")</f>
        <v>Enter Amount:</v>
      </c>
      <c r="AG991" s="1479"/>
      <c r="AH991" s="1479"/>
      <c r="AI991" s="1480"/>
      <c r="AJ991" s="1495"/>
      <c r="AK991" s="1496"/>
      <c r="AL991" s="1496"/>
      <c r="AM991" s="1496"/>
      <c r="AN991" s="1496"/>
      <c r="AO991" s="1496"/>
      <c r="AP991" s="1496"/>
      <c r="AQ991" s="1497"/>
      <c r="AR991" s="68"/>
      <c r="AS991" s="68"/>
      <c r="AT991" s="68"/>
      <c r="AU991" s="68"/>
      <c r="AV991" s="68"/>
      <c r="AW991" s="68"/>
      <c r="AX991" s="68"/>
      <c r="AY991" s="68"/>
      <c r="BA991" s="214">
        <f>IF(A1068="Yes",0.02,0)</f>
        <v>0</v>
      </c>
    </row>
    <row r="992" spans="1:58" ht="12.95" customHeight="1">
      <c r="A992" s="14"/>
      <c r="B992" s="73"/>
      <c r="C992" s="74"/>
      <c r="D992" s="1447"/>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c r="AA992" s="1448"/>
      <c r="AB992" s="1448"/>
      <c r="AC992" s="1448"/>
      <c r="AD992" s="1448"/>
      <c r="AE992" s="1449"/>
      <c r="AF992" s="1439">
        <f>'Sources and Uses Budget'!C85</f>
        <v>5676580</v>
      </c>
      <c r="AG992" s="1439"/>
      <c r="AH992" s="1439"/>
      <c r="AI992" s="1439"/>
      <c r="AJ992" s="1495"/>
      <c r="AK992" s="1496"/>
      <c r="AL992" s="1496"/>
      <c r="AM992" s="1496"/>
      <c r="AN992" s="1496"/>
      <c r="AO992" s="1496"/>
      <c r="AP992" s="1496"/>
      <c r="AQ992" s="1497"/>
      <c r="AR992" s="68"/>
      <c r="AS992" s="68"/>
      <c r="AT992" s="68"/>
      <c r="AU992" s="68"/>
      <c r="AV992" s="68"/>
      <c r="AW992" s="68"/>
      <c r="AX992" s="68"/>
      <c r="AY992" s="68"/>
    </row>
    <row r="993" spans="1:51" ht="12.95" customHeight="1">
      <c r="A993" s="14"/>
      <c r="B993" s="85"/>
      <c r="C993" s="84"/>
      <c r="D993" s="1472"/>
      <c r="E993" s="1473"/>
      <c r="F993" s="1473"/>
      <c r="G993" s="1473"/>
      <c r="H993" s="1473"/>
      <c r="I993" s="1473"/>
      <c r="J993" s="1473"/>
      <c r="K993" s="1473"/>
      <c r="L993" s="1473"/>
      <c r="M993" s="1473"/>
      <c r="N993" s="1473"/>
      <c r="O993" s="1473"/>
      <c r="P993" s="1473"/>
      <c r="Q993" s="1473"/>
      <c r="R993" s="1473"/>
      <c r="S993" s="1473"/>
      <c r="T993" s="1473"/>
      <c r="U993" s="1473"/>
      <c r="V993" s="1473"/>
      <c r="W993" s="1473"/>
      <c r="X993" s="1473"/>
      <c r="Y993" s="1473"/>
      <c r="Z993" s="1473"/>
      <c r="AA993" s="1473"/>
      <c r="AB993" s="1473"/>
      <c r="AC993" s="1473"/>
      <c r="AD993" s="1473"/>
      <c r="AE993" s="1474"/>
      <c r="AF993" s="1439"/>
      <c r="AG993" s="1439"/>
      <c r="AH993" s="1439"/>
      <c r="AI993" s="1439"/>
      <c r="AJ993" s="1498"/>
      <c r="AK993" s="1499"/>
      <c r="AL993" s="1499"/>
      <c r="AM993" s="1499"/>
      <c r="AN993" s="1499"/>
      <c r="AO993" s="1499"/>
      <c r="AP993" s="1499"/>
      <c r="AQ993" s="1500"/>
      <c r="AR993" s="68"/>
      <c r="AS993" s="68"/>
      <c r="AT993" s="68"/>
      <c r="AU993" s="68"/>
      <c r="AV993" s="68"/>
      <c r="AW993" s="68"/>
      <c r="AX993" s="68"/>
      <c r="AY993" s="68"/>
    </row>
    <row r="994" spans="1:51" ht="12.95" customHeight="1">
      <c r="A994" s="14"/>
      <c r="B994" s="79"/>
      <c r="C994" s="80" t="s">
        <v>235</v>
      </c>
      <c r="D994" s="1469" t="s">
        <v>1460</v>
      </c>
      <c r="E994" s="1470"/>
      <c r="F994" s="1470"/>
      <c r="G994" s="1470"/>
      <c r="H994" s="1470"/>
      <c r="I994" s="1470"/>
      <c r="J994" s="1470"/>
      <c r="K994" s="1470"/>
      <c r="L994" s="1470"/>
      <c r="M994" s="1470"/>
      <c r="N994" s="1470"/>
      <c r="O994" s="1470"/>
      <c r="P994" s="1470"/>
      <c r="Q994" s="1470"/>
      <c r="R994" s="1470"/>
      <c r="S994" s="1470"/>
      <c r="T994" s="1470"/>
      <c r="U994" s="1470"/>
      <c r="V994" s="1470"/>
      <c r="W994" s="1470"/>
      <c r="X994" s="1470"/>
      <c r="Y994" s="1470"/>
      <c r="Z994" s="1470"/>
      <c r="AA994" s="1470"/>
      <c r="AB994" s="1470"/>
      <c r="AC994" s="1470"/>
      <c r="AD994" s="1470"/>
      <c r="AE994" s="1471"/>
      <c r="AF994" s="79"/>
      <c r="AG994" s="1467" t="s">
        <v>554</v>
      </c>
      <c r="AH994" s="1468"/>
      <c r="AI994" s="87"/>
      <c r="AJ994" s="1492">
        <f>ROUND(IF(AG994="yes",(AJ961*0.1),0),0)</f>
        <v>5413643</v>
      </c>
      <c r="AK994" s="1493"/>
      <c r="AL994" s="1493"/>
      <c r="AM994" s="1493"/>
      <c r="AN994" s="1493"/>
      <c r="AO994" s="1493"/>
      <c r="AP994" s="1493"/>
      <c r="AQ994" s="1494"/>
      <c r="AR994" s="68"/>
      <c r="AS994" s="68"/>
      <c r="AT994" s="68"/>
      <c r="AU994" s="68"/>
      <c r="AV994" s="68"/>
      <c r="AW994" s="68"/>
      <c r="AX994" s="68"/>
      <c r="AY994" s="68"/>
    </row>
    <row r="995" spans="1:51" ht="12.95" customHeight="1">
      <c r="A995" s="14"/>
      <c r="B995" s="73"/>
      <c r="C995" s="74"/>
      <c r="D995" s="1447" t="s">
        <v>1461</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3"/>
      <c r="AG995" s="14"/>
      <c r="AH995" s="14"/>
      <c r="AI995" s="83"/>
      <c r="AJ995" s="1495"/>
      <c r="AK995" s="1496"/>
      <c r="AL995" s="1496"/>
      <c r="AM995" s="1496"/>
      <c r="AN995" s="1496"/>
      <c r="AO995" s="1496"/>
      <c r="AP995" s="1496"/>
      <c r="AQ995" s="1497"/>
      <c r="AR995" s="68"/>
      <c r="AS995" s="68"/>
      <c r="AT995" s="68"/>
      <c r="AU995" s="68"/>
      <c r="AV995" s="68"/>
      <c r="AW995" s="68"/>
      <c r="AX995" s="68"/>
      <c r="AY995" s="68"/>
    </row>
    <row r="996" spans="1:51" ht="12.95" customHeight="1">
      <c r="A996" s="14"/>
      <c r="B996" s="77"/>
      <c r="C996" s="74"/>
      <c r="D996" s="1472"/>
      <c r="E996" s="1473"/>
      <c r="F996" s="1473"/>
      <c r="G996" s="1473"/>
      <c r="H996" s="1473"/>
      <c r="I996" s="1473"/>
      <c r="J996" s="1473"/>
      <c r="K996" s="1473"/>
      <c r="L996" s="1473"/>
      <c r="M996" s="1473"/>
      <c r="N996" s="1473"/>
      <c r="O996" s="1473"/>
      <c r="P996" s="1473"/>
      <c r="Q996" s="1473"/>
      <c r="R996" s="1473"/>
      <c r="S996" s="1473"/>
      <c r="T996" s="1473"/>
      <c r="U996" s="1473"/>
      <c r="V996" s="1473"/>
      <c r="W996" s="1473"/>
      <c r="X996" s="1473"/>
      <c r="Y996" s="1473"/>
      <c r="Z996" s="1473"/>
      <c r="AA996" s="1473"/>
      <c r="AB996" s="1473"/>
      <c r="AC996" s="1473"/>
      <c r="AD996" s="1473"/>
      <c r="AE996" s="1474"/>
      <c r="AF996" s="73"/>
      <c r="AG996" s="14"/>
      <c r="AH996" s="14"/>
      <c r="AI996" s="83"/>
      <c r="AJ996" s="1498"/>
      <c r="AK996" s="1499"/>
      <c r="AL996" s="1499"/>
      <c r="AM996" s="1499"/>
      <c r="AN996" s="1499"/>
      <c r="AO996" s="1499"/>
      <c r="AP996" s="1499"/>
      <c r="AQ996" s="1500"/>
      <c r="AR996" s="68"/>
      <c r="AS996" s="68"/>
      <c r="AT996" s="68"/>
      <c r="AU996" s="68"/>
      <c r="AV996" s="68"/>
      <c r="AW996" s="68"/>
      <c r="AX996" s="68"/>
      <c r="AY996" s="68"/>
    </row>
    <row r="997" spans="1:51" ht="12.95" customHeight="1">
      <c r="A997" s="14"/>
      <c r="B997" s="73"/>
      <c r="C997" s="368" t="s">
        <v>697</v>
      </c>
      <c r="D997" s="1459" t="s">
        <v>1946</v>
      </c>
      <c r="E997" s="1460"/>
      <c r="F997" s="1460"/>
      <c r="G997" s="1460"/>
      <c r="H997" s="1460"/>
      <c r="I997" s="1460"/>
      <c r="J997" s="1460"/>
      <c r="K997" s="1460"/>
      <c r="L997" s="1460"/>
      <c r="M997" s="1460"/>
      <c r="N997" s="1460"/>
      <c r="O997" s="1460"/>
      <c r="P997" s="1460"/>
      <c r="Q997" s="1460"/>
      <c r="R997" s="1460"/>
      <c r="S997" s="1460"/>
      <c r="T997" s="1460"/>
      <c r="U997" s="1460"/>
      <c r="V997" s="1460"/>
      <c r="W997" s="1460"/>
      <c r="X997" s="1460"/>
      <c r="Y997" s="1460"/>
      <c r="Z997" s="1460"/>
      <c r="AA997" s="1460"/>
      <c r="AB997" s="1460"/>
      <c r="AC997" s="1460"/>
      <c r="AD997" s="1460"/>
      <c r="AE997" s="1461"/>
      <c r="AF997" s="79"/>
      <c r="AG997" s="1467" t="s">
        <v>678</v>
      </c>
      <c r="AH997" s="1468"/>
      <c r="AI997" s="87"/>
      <c r="AJ997" s="1492">
        <f>ROUND(IF(AG997="yes",(AJ961*0.15),0),0)</f>
        <v>0</v>
      </c>
      <c r="AK997" s="1493"/>
      <c r="AL997" s="1493"/>
      <c r="AM997" s="1493"/>
      <c r="AN997" s="1493"/>
      <c r="AO997" s="1493"/>
      <c r="AP997" s="1493"/>
      <c r="AQ997" s="1494"/>
      <c r="AR997" s="68"/>
      <c r="AS997" s="68"/>
      <c r="AT997" s="68"/>
      <c r="AU997" s="68"/>
      <c r="AV997" s="68"/>
      <c r="AW997" s="68"/>
      <c r="AX997" s="68"/>
      <c r="AY997" s="68"/>
    </row>
    <row r="998" spans="1:51" ht="12.95" customHeight="1">
      <c r="A998" s="14"/>
      <c r="B998" s="73"/>
      <c r="C998" s="74"/>
      <c r="D998" s="1487"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8"/>
      <c r="AF998" s="952"/>
      <c r="AG998" s="953"/>
      <c r="AH998" s="953"/>
      <c r="AI998" s="954"/>
      <c r="AJ998" s="1495"/>
      <c r="AK998" s="1496"/>
      <c r="AL998" s="1496"/>
      <c r="AM998" s="1496"/>
      <c r="AN998" s="1496"/>
      <c r="AO998" s="1496"/>
      <c r="AP998" s="1496"/>
      <c r="AQ998" s="1497"/>
      <c r="AR998" s="68"/>
      <c r="AS998" s="68"/>
      <c r="AT998" s="68"/>
      <c r="AU998" s="68"/>
      <c r="AV998" s="68"/>
      <c r="AW998" s="68"/>
      <c r="AX998" s="68"/>
      <c r="AY998" s="68"/>
    </row>
    <row r="999" spans="1:51" ht="12.95" customHeight="1">
      <c r="A999" s="14"/>
      <c r="B999" s="73"/>
      <c r="C999" s="74"/>
      <c r="D999" s="1487"/>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8"/>
      <c r="AF999" s="952"/>
      <c r="AG999" s="953"/>
      <c r="AH999" s="953"/>
      <c r="AI999" s="954"/>
      <c r="AJ999" s="1495"/>
      <c r="AK999" s="1496"/>
      <c r="AL999" s="1496"/>
      <c r="AM999" s="1496"/>
      <c r="AN999" s="1496"/>
      <c r="AO999" s="1496"/>
      <c r="AP999" s="1496"/>
      <c r="AQ999" s="1497"/>
      <c r="AR999" s="68"/>
      <c r="AS999" s="68"/>
      <c r="AT999" s="68"/>
      <c r="AU999" s="68"/>
      <c r="AV999" s="68"/>
      <c r="AW999" s="68"/>
      <c r="AX999" s="68"/>
      <c r="AY999" s="68"/>
    </row>
    <row r="1000" spans="1:51" ht="12.95" customHeight="1">
      <c r="A1000" s="14"/>
      <c r="B1000" s="73"/>
      <c r="C1000" s="74"/>
      <c r="D1000" s="1489"/>
      <c r="E1000" s="1490"/>
      <c r="F1000" s="1490"/>
      <c r="G1000" s="1490"/>
      <c r="H1000" s="1490"/>
      <c r="I1000" s="1490"/>
      <c r="J1000" s="1490"/>
      <c r="K1000" s="1490"/>
      <c r="L1000" s="1490"/>
      <c r="M1000" s="1490"/>
      <c r="N1000" s="1490"/>
      <c r="O1000" s="1490"/>
      <c r="P1000" s="1490"/>
      <c r="Q1000" s="1490"/>
      <c r="R1000" s="1490"/>
      <c r="S1000" s="1490"/>
      <c r="T1000" s="1490"/>
      <c r="U1000" s="1490"/>
      <c r="V1000" s="1490"/>
      <c r="W1000" s="1490"/>
      <c r="X1000" s="1490"/>
      <c r="Y1000" s="1490"/>
      <c r="Z1000" s="1490"/>
      <c r="AA1000" s="1490"/>
      <c r="AB1000" s="1490"/>
      <c r="AC1000" s="1490"/>
      <c r="AD1000" s="1490"/>
      <c r="AE1000" s="1491"/>
      <c r="AF1000" s="955"/>
      <c r="AG1000" s="956"/>
      <c r="AH1000" s="956"/>
      <c r="AI1000" s="957"/>
      <c r="AJ1000" s="1498"/>
      <c r="AK1000" s="1499"/>
      <c r="AL1000" s="1499"/>
      <c r="AM1000" s="1499"/>
      <c r="AN1000" s="1499"/>
      <c r="AO1000" s="1499"/>
      <c r="AP1000" s="1499"/>
      <c r="AQ1000" s="1500"/>
      <c r="AR1000" s="68"/>
      <c r="AS1000" s="68"/>
      <c r="AT1000" s="68"/>
      <c r="AU1000" s="68"/>
      <c r="AV1000" s="68"/>
      <c r="AW1000" s="68"/>
      <c r="AX1000" s="68"/>
      <c r="AY1000" s="68"/>
    </row>
    <row r="1001" spans="1:51" ht="12.95" customHeight="1">
      <c r="A1001" s="14"/>
      <c r="B1001" s="73"/>
      <c r="C1001" s="368" t="s">
        <v>697</v>
      </c>
      <c r="D1001" s="1469" t="s">
        <v>1948</v>
      </c>
      <c r="E1001" s="1470"/>
      <c r="F1001" s="1470"/>
      <c r="G1001" s="1470"/>
      <c r="H1001" s="1470"/>
      <c r="I1001" s="1470"/>
      <c r="J1001" s="1470"/>
      <c r="K1001" s="1470"/>
      <c r="L1001" s="1470"/>
      <c r="M1001" s="1470"/>
      <c r="N1001" s="1470"/>
      <c r="O1001" s="1470"/>
      <c r="P1001" s="1470"/>
      <c r="Q1001" s="1470"/>
      <c r="R1001" s="1470"/>
      <c r="S1001" s="1470"/>
      <c r="T1001" s="1470"/>
      <c r="U1001" s="1470"/>
      <c r="V1001" s="1470"/>
      <c r="W1001" s="1470"/>
      <c r="X1001" s="1470"/>
      <c r="Y1001" s="1470"/>
      <c r="Z1001" s="1470"/>
      <c r="AA1001" s="1470"/>
      <c r="AB1001" s="1470"/>
      <c r="AC1001" s="1470"/>
      <c r="AD1001" s="1470"/>
      <c r="AE1001" s="1471"/>
      <c r="AF1001" s="73"/>
      <c r="AG1001" s="1565" t="s">
        <v>678</v>
      </c>
      <c r="AH1001" s="1566"/>
      <c r="AI1001" s="83"/>
      <c r="AJ1001" s="1492">
        <f>ROUND(IF(AND(AG1001="yes",AJ997=0),(AJ961*0.1),0),0)</f>
        <v>0</v>
      </c>
      <c r="AK1001" s="1493"/>
      <c r="AL1001" s="1493"/>
      <c r="AM1001" s="1493"/>
      <c r="AN1001" s="1493"/>
      <c r="AO1001" s="1493"/>
      <c r="AP1001" s="1493"/>
      <c r="AQ1001" s="1494"/>
      <c r="AR1001" s="68"/>
      <c r="AS1001" s="68"/>
      <c r="AT1001" s="68"/>
      <c r="AU1001" s="68"/>
      <c r="AV1001" s="68"/>
      <c r="AW1001" s="68"/>
      <c r="AX1001" s="68"/>
      <c r="AY1001" s="68"/>
    </row>
    <row r="1002" spans="1:51" ht="12.95" customHeight="1">
      <c r="A1002" s="14"/>
      <c r="B1002" s="73"/>
      <c r="C1002" s="74"/>
      <c r="D1002" s="1487"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8"/>
      <c r="AF1002" s="73"/>
      <c r="AG1002" s="14"/>
      <c r="AH1002" s="14"/>
      <c r="AI1002" s="83"/>
      <c r="AJ1002" s="1495"/>
      <c r="AK1002" s="1496"/>
      <c r="AL1002" s="1496"/>
      <c r="AM1002" s="1496"/>
      <c r="AN1002" s="1496"/>
      <c r="AO1002" s="1496"/>
      <c r="AP1002" s="1496"/>
      <c r="AQ1002" s="1497"/>
      <c r="AR1002" s="68"/>
      <c r="AS1002" s="68"/>
      <c r="AT1002" s="68"/>
      <c r="AU1002" s="68"/>
      <c r="AV1002" s="68"/>
      <c r="AW1002" s="68"/>
      <c r="AX1002" s="68"/>
      <c r="AY1002" s="68"/>
    </row>
    <row r="1003" spans="1:51" ht="12.95" customHeight="1">
      <c r="A1003" s="14"/>
      <c r="B1003" s="73"/>
      <c r="C1003" s="74"/>
      <c r="D1003" s="1487"/>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8"/>
      <c r="AF1003" s="73"/>
      <c r="AG1003" s="14"/>
      <c r="AH1003" s="14"/>
      <c r="AI1003" s="83"/>
      <c r="AJ1003" s="1495"/>
      <c r="AK1003" s="1496"/>
      <c r="AL1003" s="1496"/>
      <c r="AM1003" s="1496"/>
      <c r="AN1003" s="1496"/>
      <c r="AO1003" s="1496"/>
      <c r="AP1003" s="1496"/>
      <c r="AQ1003" s="1497"/>
      <c r="AR1003" s="68"/>
      <c r="AS1003" s="68"/>
      <c r="AT1003" s="68"/>
      <c r="AU1003" s="68"/>
      <c r="AV1003" s="68"/>
      <c r="AW1003" s="68"/>
      <c r="AX1003" s="68"/>
      <c r="AY1003" s="68"/>
    </row>
    <row r="1004" spans="1:51" ht="12.95" customHeight="1">
      <c r="A1004" s="14"/>
      <c r="B1004" s="73"/>
      <c r="C1004" s="74"/>
      <c r="D1004" s="1487"/>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8"/>
      <c r="AF1004" s="73"/>
      <c r="AG1004" s="14"/>
      <c r="AH1004" s="14"/>
      <c r="AI1004" s="83"/>
      <c r="AJ1004" s="1495"/>
      <c r="AK1004" s="1496"/>
      <c r="AL1004" s="1496"/>
      <c r="AM1004" s="1496"/>
      <c r="AN1004" s="1496"/>
      <c r="AO1004" s="1496"/>
      <c r="AP1004" s="1496"/>
      <c r="AQ1004" s="1497"/>
      <c r="AR1004" s="68"/>
      <c r="AS1004" s="68"/>
      <c r="AT1004" s="68"/>
      <c r="AU1004" s="68"/>
      <c r="AV1004" s="68"/>
      <c r="AW1004" s="68"/>
      <c r="AX1004" s="68"/>
      <c r="AY1004" s="68"/>
    </row>
    <row r="1005" spans="1:51" ht="12.95" customHeight="1">
      <c r="A1005" s="14"/>
      <c r="B1005" s="73"/>
      <c r="C1005" s="74"/>
      <c r="D1005" s="1489"/>
      <c r="E1005" s="1490"/>
      <c r="F1005" s="1490"/>
      <c r="G1005" s="1490"/>
      <c r="H1005" s="1490"/>
      <c r="I1005" s="1490"/>
      <c r="J1005" s="1490"/>
      <c r="K1005" s="1490"/>
      <c r="L1005" s="1490"/>
      <c r="M1005" s="1490"/>
      <c r="N1005" s="1490"/>
      <c r="O1005" s="1490"/>
      <c r="P1005" s="1490"/>
      <c r="Q1005" s="1490"/>
      <c r="R1005" s="1490"/>
      <c r="S1005" s="1490"/>
      <c r="T1005" s="1490"/>
      <c r="U1005" s="1490"/>
      <c r="V1005" s="1490"/>
      <c r="W1005" s="1490"/>
      <c r="X1005" s="1490"/>
      <c r="Y1005" s="1490"/>
      <c r="Z1005" s="1490"/>
      <c r="AA1005" s="1490"/>
      <c r="AB1005" s="1490"/>
      <c r="AC1005" s="1490"/>
      <c r="AD1005" s="1490"/>
      <c r="AE1005" s="1491"/>
      <c r="AF1005" s="73"/>
      <c r="AG1005" s="14"/>
      <c r="AH1005" s="14"/>
      <c r="AI1005" s="83"/>
      <c r="AJ1005" s="1495"/>
      <c r="AK1005" s="1496"/>
      <c r="AL1005" s="1496"/>
      <c r="AM1005" s="1496"/>
      <c r="AN1005" s="1496"/>
      <c r="AO1005" s="1496"/>
      <c r="AP1005" s="1496"/>
      <c r="AQ1005" s="1497"/>
      <c r="AR1005" s="68"/>
      <c r="AS1005" s="68"/>
      <c r="AT1005" s="68"/>
      <c r="AU1005" s="68"/>
      <c r="AV1005" s="68"/>
      <c r="AW1005" s="68"/>
      <c r="AX1005" s="68"/>
      <c r="AY1005" s="68"/>
    </row>
    <row r="1006" spans="1:51" ht="12.95" customHeight="1">
      <c r="A1006" s="14"/>
      <c r="B1006" s="79"/>
      <c r="C1006" s="131" t="s">
        <v>1067</v>
      </c>
      <c r="D1006" s="1459" t="s">
        <v>1462</v>
      </c>
      <c r="E1006" s="1460"/>
      <c r="F1006" s="1460"/>
      <c r="G1006" s="1460"/>
      <c r="H1006" s="1460"/>
      <c r="I1006" s="1460"/>
      <c r="J1006" s="1460"/>
      <c r="K1006" s="1460"/>
      <c r="L1006" s="1460"/>
      <c r="M1006" s="1460"/>
      <c r="N1006" s="1460"/>
      <c r="O1006" s="1460"/>
      <c r="P1006" s="1460"/>
      <c r="Q1006" s="1460"/>
      <c r="R1006" s="1460"/>
      <c r="S1006" s="1460"/>
      <c r="T1006" s="1460"/>
      <c r="U1006" s="1460"/>
      <c r="V1006" s="1460"/>
      <c r="W1006" s="1460"/>
      <c r="X1006" s="1460"/>
      <c r="Y1006" s="1460"/>
      <c r="Z1006" s="1460"/>
      <c r="AA1006" s="1460"/>
      <c r="AB1006" s="1460"/>
      <c r="AC1006" s="1460"/>
      <c r="AD1006" s="1460"/>
      <c r="AE1006" s="1461"/>
      <c r="AF1006" s="79"/>
      <c r="AG1006" s="1467" t="s">
        <v>554</v>
      </c>
      <c r="AH1006" s="1468"/>
      <c r="AI1006" s="87"/>
      <c r="AJ1006" s="1492">
        <f>ROUND(IF(AG1006="yes",(AJ961*0.1),0),0)</f>
        <v>5413643</v>
      </c>
      <c r="AK1006" s="1493"/>
      <c r="AL1006" s="1493"/>
      <c r="AM1006" s="1493"/>
      <c r="AN1006" s="1493"/>
      <c r="AO1006" s="1493"/>
      <c r="AP1006" s="1493"/>
      <c r="AQ1006" s="1494"/>
      <c r="AR1006" s="68"/>
      <c r="AS1006" s="68"/>
      <c r="AT1006" s="68"/>
      <c r="AU1006" s="68"/>
      <c r="AV1006" s="68"/>
      <c r="AW1006" s="68"/>
      <c r="AX1006" s="68"/>
      <c r="AY1006" s="68"/>
    </row>
    <row r="1007" spans="1:51" ht="12.95" customHeight="1">
      <c r="A1007" s="14"/>
      <c r="B1007" s="73"/>
      <c r="C1007" s="74"/>
      <c r="D1007" s="1447" t="s">
        <v>2515</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73"/>
      <c r="AG1007" s="14"/>
      <c r="AH1007" s="14"/>
      <c r="AI1007" s="83"/>
      <c r="AJ1007" s="1495"/>
      <c r="AK1007" s="1496"/>
      <c r="AL1007" s="1496"/>
      <c r="AM1007" s="1496"/>
      <c r="AN1007" s="1496"/>
      <c r="AO1007" s="1496"/>
      <c r="AP1007" s="1496"/>
      <c r="AQ1007" s="1497"/>
      <c r="AR1007" s="68"/>
      <c r="AS1007" s="68"/>
      <c r="AT1007" s="68"/>
      <c r="AU1007" s="68"/>
      <c r="AV1007" s="68"/>
      <c r="AW1007" s="68"/>
      <c r="AX1007" s="68"/>
      <c r="AY1007" s="68"/>
    </row>
    <row r="1008" spans="1:51" ht="12.95" customHeight="1">
      <c r="A1008" s="14"/>
      <c r="B1008" s="73"/>
      <c r="C1008" s="74"/>
      <c r="D1008" s="1447"/>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3"/>
      <c r="AG1008" s="14"/>
      <c r="AH1008" s="14"/>
      <c r="AI1008" s="83"/>
      <c r="AJ1008" s="1495"/>
      <c r="AK1008" s="1496"/>
      <c r="AL1008" s="1496"/>
      <c r="AM1008" s="1496"/>
      <c r="AN1008" s="1496"/>
      <c r="AO1008" s="1496"/>
      <c r="AP1008" s="1496"/>
      <c r="AQ1008" s="1497"/>
      <c r="AR1008" s="68"/>
      <c r="AS1008" s="68"/>
      <c r="AT1008" s="68"/>
      <c r="AU1008" s="68"/>
      <c r="AV1008" s="68"/>
      <c r="AW1008" s="68"/>
      <c r="AX1008" s="68"/>
      <c r="AY1008" s="68"/>
    </row>
    <row r="1009" spans="1:51" ht="12.95" customHeight="1">
      <c r="A1009" s="14"/>
      <c r="B1009" s="73"/>
      <c r="C1009" s="74"/>
      <c r="D1009" s="1472"/>
      <c r="E1009" s="1473"/>
      <c r="F1009" s="1473"/>
      <c r="G1009" s="1473"/>
      <c r="H1009" s="1473"/>
      <c r="I1009" s="1473"/>
      <c r="J1009" s="1473"/>
      <c r="K1009" s="1473"/>
      <c r="L1009" s="1473"/>
      <c r="M1009" s="1473"/>
      <c r="N1009" s="1473"/>
      <c r="O1009" s="1473"/>
      <c r="P1009" s="1473"/>
      <c r="Q1009" s="1473"/>
      <c r="R1009" s="1473"/>
      <c r="S1009" s="1473"/>
      <c r="T1009" s="1473"/>
      <c r="U1009" s="1473"/>
      <c r="V1009" s="1473"/>
      <c r="W1009" s="1473"/>
      <c r="X1009" s="1473"/>
      <c r="Y1009" s="1473"/>
      <c r="Z1009" s="1473"/>
      <c r="AA1009" s="1473"/>
      <c r="AB1009" s="1473"/>
      <c r="AC1009" s="1473"/>
      <c r="AD1009" s="1473"/>
      <c r="AE1009" s="1474"/>
      <c r="AF1009" s="73"/>
      <c r="AG1009" s="14"/>
      <c r="AH1009" s="14"/>
      <c r="AI1009" s="83"/>
      <c r="AJ1009" s="1498"/>
      <c r="AK1009" s="1499"/>
      <c r="AL1009" s="1499"/>
      <c r="AM1009" s="1499"/>
      <c r="AN1009" s="1499"/>
      <c r="AO1009" s="1499"/>
      <c r="AP1009" s="1499"/>
      <c r="AQ1009" s="1500"/>
      <c r="AR1009" s="68"/>
      <c r="AS1009" s="68"/>
      <c r="AT1009" s="68"/>
      <c r="AU1009" s="68"/>
      <c r="AV1009" s="68"/>
      <c r="AW1009" s="68"/>
      <c r="AX1009" s="68"/>
      <c r="AY1009" s="68"/>
    </row>
    <row r="1010" spans="1:51" ht="12.95" customHeight="1">
      <c r="A1010" s="14"/>
      <c r="B1010" s="79"/>
      <c r="C1010" s="131" t="s">
        <v>1944</v>
      </c>
      <c r="D1010" s="1469" t="s">
        <v>2128</v>
      </c>
      <c r="E1010" s="1470"/>
      <c r="F1010" s="1470"/>
      <c r="G1010" s="1470"/>
      <c r="H1010" s="1470"/>
      <c r="I1010" s="1470"/>
      <c r="J1010" s="1470"/>
      <c r="K1010" s="1470"/>
      <c r="L1010" s="1470"/>
      <c r="M1010" s="1470"/>
      <c r="N1010" s="1470"/>
      <c r="O1010" s="1470"/>
      <c r="P1010" s="1470"/>
      <c r="Q1010" s="1470"/>
      <c r="R1010" s="1470"/>
      <c r="S1010" s="1470"/>
      <c r="T1010" s="1470"/>
      <c r="U1010" s="1470"/>
      <c r="V1010" s="1470"/>
      <c r="W1010" s="1470"/>
      <c r="X1010" s="1470"/>
      <c r="Y1010" s="1470"/>
      <c r="Z1010" s="1470"/>
      <c r="AA1010" s="1470"/>
      <c r="AB1010" s="1470"/>
      <c r="AC1010" s="1470"/>
      <c r="AD1010" s="1470"/>
      <c r="AE1010" s="1471"/>
      <c r="AF1010" s="79"/>
      <c r="AG1010" s="1563" t="str">
        <f>IF(X1013&gt;0,"Yes","No")</f>
        <v>Yes</v>
      </c>
      <c r="AH1010" s="1564"/>
      <c r="AI1010" s="87"/>
      <c r="AJ1010" s="1492">
        <f>IF((X1013=0),0,BA975*AJ961)</f>
        <v>18947751.199999999</v>
      </c>
      <c r="AK1010" s="1493"/>
      <c r="AL1010" s="1493"/>
      <c r="AM1010" s="1493"/>
      <c r="AN1010" s="1493"/>
      <c r="AO1010" s="1493"/>
      <c r="AP1010" s="1493"/>
      <c r="AQ1010" s="1494"/>
      <c r="AR1010" s="68"/>
      <c r="AS1010" s="68"/>
      <c r="AT1010" s="68"/>
      <c r="AU1010" s="68"/>
      <c r="AV1010" s="68"/>
      <c r="AW1010" s="68"/>
      <c r="AX1010" s="68"/>
      <c r="AY1010" s="68"/>
    </row>
    <row r="1011" spans="1:51" ht="12.95" customHeight="1">
      <c r="A1011" s="14"/>
      <c r="B1011" s="73"/>
      <c r="C1011" s="477"/>
      <c r="D1011" s="1447" t="s">
        <v>1464</v>
      </c>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73"/>
      <c r="AG1011" s="478"/>
      <c r="AH1011" s="478"/>
      <c r="AI1011" s="83"/>
      <c r="AJ1011" s="1495"/>
      <c r="AK1011" s="1496"/>
      <c r="AL1011" s="1496"/>
      <c r="AM1011" s="1496"/>
      <c r="AN1011" s="1496"/>
      <c r="AO1011" s="1496"/>
      <c r="AP1011" s="1496"/>
      <c r="AQ1011" s="1497"/>
      <c r="AR1011" s="68"/>
      <c r="AS1011" s="68"/>
      <c r="AT1011" s="68"/>
      <c r="AU1011" s="68"/>
      <c r="AV1011" s="68"/>
      <c r="AW1011" s="68"/>
      <c r="AX1011" s="68"/>
      <c r="AY1011" s="68"/>
    </row>
    <row r="1012" spans="1:51" ht="12.95" customHeight="1">
      <c r="A1012" s="14"/>
      <c r="B1012" s="73"/>
      <c r="C1012" s="477"/>
      <c r="D1012" s="1447"/>
      <c r="E1012" s="1448"/>
      <c r="F1012" s="1448"/>
      <c r="G1012" s="1448"/>
      <c r="H1012" s="1448"/>
      <c r="I1012" s="1448"/>
      <c r="J1012" s="1448"/>
      <c r="K1012" s="1448"/>
      <c r="L1012" s="1448"/>
      <c r="M1012" s="1448"/>
      <c r="N1012" s="1448"/>
      <c r="O1012" s="1448"/>
      <c r="P1012" s="1448"/>
      <c r="Q1012" s="1448"/>
      <c r="R1012" s="1448"/>
      <c r="S1012" s="1448"/>
      <c r="T1012" s="1448"/>
      <c r="U1012" s="1448"/>
      <c r="V1012" s="1448"/>
      <c r="W1012" s="1448"/>
      <c r="X1012" s="1448"/>
      <c r="Y1012" s="1448"/>
      <c r="Z1012" s="1448"/>
      <c r="AA1012" s="1448"/>
      <c r="AB1012" s="1448"/>
      <c r="AC1012" s="1448"/>
      <c r="AD1012" s="1448"/>
      <c r="AE1012" s="1449"/>
      <c r="AF1012" s="73"/>
      <c r="AG1012" s="478"/>
      <c r="AH1012" s="478"/>
      <c r="AI1012" s="83"/>
      <c r="AJ1012" s="1495"/>
      <c r="AK1012" s="1496"/>
      <c r="AL1012" s="1496"/>
      <c r="AM1012" s="1496"/>
      <c r="AN1012" s="1496"/>
      <c r="AO1012" s="1496"/>
      <c r="AP1012" s="1496"/>
      <c r="AQ1012" s="1497"/>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61">
        <f>BA973</f>
        <v>115</v>
      </c>
      <c r="J1013" s="1562"/>
      <c r="K1013" s="7"/>
      <c r="L1013" s="133"/>
      <c r="M1013" s="133"/>
      <c r="N1013" s="133"/>
      <c r="O1013" s="133"/>
      <c r="P1013" s="133"/>
      <c r="Q1013" s="133"/>
      <c r="R1013" s="133"/>
      <c r="S1013" s="133"/>
      <c r="T1013" s="133"/>
      <c r="U1013" s="133"/>
      <c r="V1013" s="134" t="s">
        <v>1013</v>
      </c>
      <c r="W1013" s="48"/>
      <c r="X1013" s="1559">
        <f>BG621</f>
        <v>41</v>
      </c>
      <c r="Y1013" s="1560"/>
      <c r="Z1013" s="48"/>
      <c r="AA1013" s="48"/>
      <c r="AB1013" s="48"/>
      <c r="AC1013" s="48"/>
      <c r="AD1013" s="48"/>
      <c r="AE1013" s="49"/>
      <c r="AF1013" s="961"/>
      <c r="AG1013" s="962"/>
      <c r="AH1013" s="962"/>
      <c r="AI1013" s="963"/>
      <c r="AJ1013" s="1498"/>
      <c r="AK1013" s="1499"/>
      <c r="AL1013" s="1499"/>
      <c r="AM1013" s="1499"/>
      <c r="AN1013" s="1499"/>
      <c r="AO1013" s="1499"/>
      <c r="AP1013" s="1499"/>
      <c r="AQ1013" s="1500"/>
      <c r="AR1013" s="68"/>
      <c r="AS1013" s="68"/>
      <c r="AT1013" s="68"/>
      <c r="AU1013" s="68"/>
      <c r="AV1013" s="68"/>
      <c r="AW1013" s="68"/>
      <c r="AX1013" s="68"/>
      <c r="AY1013" s="68"/>
    </row>
    <row r="1014" spans="1:51" ht="12.95" customHeight="1">
      <c r="A1014" s="14"/>
      <c r="B1014" s="79"/>
      <c r="C1014" s="131" t="s">
        <v>1945</v>
      </c>
      <c r="D1014" s="1459" t="s">
        <v>2129</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73"/>
      <c r="AG1014" s="1563" t="str">
        <f>IF(X1017&gt;0,"Yes","No")</f>
        <v>Yes</v>
      </c>
      <c r="AH1014" s="1564"/>
      <c r="AI1014" s="83"/>
      <c r="AJ1014" s="1492">
        <f>IF((X1017=0),0,(2*BA976)*AJ961)</f>
        <v>10827286.4</v>
      </c>
      <c r="AK1014" s="1493"/>
      <c r="AL1014" s="1493"/>
      <c r="AM1014" s="1493"/>
      <c r="AN1014" s="1493"/>
      <c r="AO1014" s="1493"/>
      <c r="AP1014" s="1493"/>
      <c r="AQ1014" s="1494"/>
      <c r="AR1014" s="68"/>
      <c r="AS1014" s="68"/>
      <c r="AT1014" s="68"/>
      <c r="AU1014" s="68"/>
      <c r="AV1014" s="68"/>
      <c r="AW1014" s="68"/>
      <c r="AX1014" s="68"/>
      <c r="AY1014" s="68"/>
    </row>
    <row r="1015" spans="1:51" ht="12.95" customHeight="1">
      <c r="A1015" s="14"/>
      <c r="B1015" s="73"/>
      <c r="C1015" s="477"/>
      <c r="D1015" s="1447" t="s">
        <v>1463</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478"/>
      <c r="AH1015" s="478"/>
      <c r="AI1015" s="83"/>
      <c r="AJ1015" s="1495"/>
      <c r="AK1015" s="1496"/>
      <c r="AL1015" s="1496"/>
      <c r="AM1015" s="1496"/>
      <c r="AN1015" s="1496"/>
      <c r="AO1015" s="1496"/>
      <c r="AP1015" s="1496"/>
      <c r="AQ1015" s="1497"/>
      <c r="AR1015" s="68"/>
      <c r="AS1015" s="68"/>
      <c r="AT1015" s="68"/>
      <c r="AU1015" s="68"/>
      <c r="AV1015" s="68"/>
      <c r="AW1015" s="68"/>
      <c r="AX1015" s="68"/>
      <c r="AY1015" s="68"/>
    </row>
    <row r="1016" spans="1:51" ht="12.95" customHeight="1">
      <c r="A1016" s="14"/>
      <c r="B1016" s="73"/>
      <c r="C1016" s="83"/>
      <c r="D1016" s="1447"/>
      <c r="E1016" s="1448"/>
      <c r="F1016" s="1448"/>
      <c r="G1016" s="1448"/>
      <c r="H1016" s="1448"/>
      <c r="I1016" s="1448"/>
      <c r="J1016" s="1448"/>
      <c r="K1016" s="1448"/>
      <c r="L1016" s="1448"/>
      <c r="M1016" s="1448"/>
      <c r="N1016" s="1448"/>
      <c r="O1016" s="1448"/>
      <c r="P1016" s="1448"/>
      <c r="Q1016" s="1448"/>
      <c r="R1016" s="1448"/>
      <c r="S1016" s="1448"/>
      <c r="T1016" s="1448"/>
      <c r="U1016" s="1448"/>
      <c r="V1016" s="1448"/>
      <c r="W1016" s="1448"/>
      <c r="X1016" s="1448"/>
      <c r="Y1016" s="1448"/>
      <c r="Z1016" s="1448"/>
      <c r="AA1016" s="1448"/>
      <c r="AB1016" s="1448"/>
      <c r="AC1016" s="1448"/>
      <c r="AD1016" s="1448"/>
      <c r="AE1016" s="1449"/>
      <c r="AF1016" s="958"/>
      <c r="AG1016" s="959"/>
      <c r="AH1016" s="959"/>
      <c r="AI1016" s="960"/>
      <c r="AJ1016" s="1495"/>
      <c r="AK1016" s="1496"/>
      <c r="AL1016" s="1496"/>
      <c r="AM1016" s="1496"/>
      <c r="AN1016" s="1496"/>
      <c r="AO1016" s="1496"/>
      <c r="AP1016" s="1496"/>
      <c r="AQ1016" s="1497"/>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61">
        <f>BA973</f>
        <v>115</v>
      </c>
      <c r="J1017" s="1562"/>
      <c r="K1017" s="14"/>
      <c r="L1017" s="133"/>
      <c r="M1017" s="133"/>
      <c r="N1017" s="133"/>
      <c r="O1017" s="133"/>
      <c r="P1017" s="133"/>
      <c r="Q1017" s="133"/>
      <c r="R1017" s="133"/>
      <c r="S1017" s="133"/>
      <c r="T1017" s="133"/>
      <c r="U1017" s="133"/>
      <c r="V1017" s="134" t="s">
        <v>1014</v>
      </c>
      <c r="X1017" s="1559">
        <f>BK621</f>
        <v>12</v>
      </c>
      <c r="Y1017" s="1560"/>
      <c r="AF1017" s="961"/>
      <c r="AG1017" s="962"/>
      <c r="AH1017" s="962"/>
      <c r="AI1017" s="963"/>
      <c r="AJ1017" s="1498"/>
      <c r="AK1017" s="1499"/>
      <c r="AL1017" s="1499"/>
      <c r="AM1017" s="1499"/>
      <c r="AN1017" s="1499"/>
      <c r="AO1017" s="1499"/>
      <c r="AP1017" s="1499"/>
      <c r="AQ1017" s="1500"/>
      <c r="AR1017" s="68"/>
      <c r="AS1017" s="68"/>
      <c r="AT1017" s="68"/>
      <c r="AU1017" s="68"/>
      <c r="AV1017" s="68"/>
      <c r="AW1017" s="68"/>
      <c r="AX1017" s="68"/>
      <c r="AY1017" s="68"/>
    </row>
    <row r="1018" spans="1:51" ht="12.95" customHeight="1">
      <c r="A1018" s="14"/>
      <c r="B1018" s="102"/>
      <c r="C1018" s="103"/>
      <c r="D1018" s="1557" t="s">
        <v>522</v>
      </c>
      <c r="E1018" s="1557"/>
      <c r="F1018" s="1557"/>
      <c r="G1018" s="1557"/>
      <c r="H1018" s="1557"/>
      <c r="I1018" s="1557"/>
      <c r="J1018" s="1557"/>
      <c r="K1018" s="1557"/>
      <c r="L1018" s="1557"/>
      <c r="M1018" s="1557"/>
      <c r="N1018" s="1557"/>
      <c r="O1018" s="1557"/>
      <c r="P1018" s="1557"/>
      <c r="Q1018" s="1557"/>
      <c r="R1018" s="1557"/>
      <c r="S1018" s="1557"/>
      <c r="T1018" s="1557"/>
      <c r="U1018" s="1557"/>
      <c r="V1018" s="1557"/>
      <c r="W1018" s="1557"/>
      <c r="X1018" s="1557"/>
      <c r="Y1018" s="1557"/>
      <c r="Z1018" s="1557"/>
      <c r="AA1018" s="1557"/>
      <c r="AB1018" s="1557"/>
      <c r="AC1018" s="1557"/>
      <c r="AD1018" s="1557"/>
      <c r="AE1018" s="1557"/>
      <c r="AF1018" s="1557"/>
      <c r="AG1018" s="1557"/>
      <c r="AH1018" s="1557"/>
      <c r="AI1018" s="1558"/>
      <c r="AJ1018" s="1567">
        <f>SUM(AJ961:AQ1017)</f>
        <v>100415335.60000001</v>
      </c>
      <c r="AK1018" s="1568"/>
      <c r="AL1018" s="1568"/>
      <c r="AM1018" s="1568"/>
      <c r="AN1018" s="1568"/>
      <c r="AO1018" s="1568"/>
      <c r="AP1018" s="1568"/>
      <c r="AQ1018" s="1569"/>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35">
        <f>IF(ISNA(IF((AJ985&gt;(AJ961*0.15)),"(f) cannot be greater than 15% of unadjusted eligible basis.",0)),"",(IF((AJ985&gt;(AJ961*0.15)),"(f) cannot be greater than 15% of unadjusted eligible basis.",0)))</f>
        <v>0</v>
      </c>
      <c r="C1025" s="1635"/>
      <c r="D1025" s="1635"/>
      <c r="E1025" s="1635"/>
      <c r="F1025" s="1635"/>
      <c r="G1025" s="1635"/>
      <c r="H1025" s="1635"/>
      <c r="I1025" s="1635"/>
      <c r="J1025" s="1635"/>
      <c r="K1025" s="1635"/>
      <c r="L1025" s="1635"/>
      <c r="M1025" s="1635"/>
      <c r="N1025" s="1635"/>
      <c r="O1025" s="1635"/>
      <c r="P1025" s="1635"/>
      <c r="Q1025" s="1635"/>
      <c r="R1025" s="1635"/>
      <c r="S1025" s="1635"/>
      <c r="T1025" s="1635"/>
      <c r="U1025" s="1635"/>
      <c r="V1025" s="1635"/>
      <c r="W1025" s="1635"/>
      <c r="X1025" s="1635"/>
      <c r="Y1025" s="1635"/>
      <c r="Z1025" s="1635"/>
      <c r="AA1025" s="1635"/>
      <c r="AB1025" s="1635"/>
      <c r="AC1025" s="1635"/>
      <c r="AD1025" s="1635"/>
      <c r="AE1025" s="1635"/>
      <c r="AF1025" s="1635"/>
      <c r="AG1025" s="1635"/>
      <c r="AH1025" s="1635"/>
      <c r="AI1025" s="1635"/>
      <c r="AJ1025" s="1635"/>
      <c r="AK1025" s="1635"/>
      <c r="AL1025" s="68"/>
      <c r="AM1025" s="68"/>
      <c r="AN1025" s="68"/>
      <c r="AO1025" s="68"/>
      <c r="AP1025" s="68"/>
      <c r="AQ1025" s="68"/>
      <c r="AR1025" s="68"/>
      <c r="AS1025" s="68"/>
      <c r="AT1025" s="68"/>
      <c r="AU1025" s="68"/>
      <c r="AV1025" s="68"/>
      <c r="AW1025" s="68"/>
      <c r="AX1025" s="68"/>
      <c r="AY1025" s="68"/>
    </row>
    <row r="1026" spans="1:51" ht="12.95" customHeight="1" thickBot="1">
      <c r="A1026" s="1670" t="s">
        <v>818</v>
      </c>
      <c r="B1026" s="1670"/>
      <c r="C1026" s="1670"/>
      <c r="D1026" s="1670"/>
      <c r="E1026" s="1670"/>
      <c r="F1026" s="1670"/>
      <c r="G1026" s="1670"/>
      <c r="H1026" s="1670"/>
      <c r="I1026" s="1670"/>
      <c r="J1026" s="1670"/>
      <c r="K1026" s="1670"/>
      <c r="L1026" s="1670"/>
      <c r="M1026" s="1670"/>
      <c r="N1026" s="1670"/>
      <c r="O1026" s="1670"/>
      <c r="P1026" s="1670"/>
      <c r="Q1026" s="1670"/>
      <c r="R1026" s="1670"/>
      <c r="S1026" s="1670"/>
      <c r="T1026" s="1670"/>
      <c r="U1026" s="1670"/>
      <c r="V1026" s="1670"/>
      <c r="W1026" s="1670"/>
      <c r="X1026" s="1670"/>
      <c r="Y1026" s="1670"/>
      <c r="Z1026" s="1670"/>
      <c r="AA1026" s="1670"/>
      <c r="AB1026" s="1670"/>
      <c r="AC1026" s="1670"/>
      <c r="AD1026" s="1670"/>
      <c r="AE1026" s="1670"/>
      <c r="AF1026" s="1670"/>
      <c r="AG1026" s="1670"/>
      <c r="AH1026" s="1670"/>
      <c r="AI1026" s="1670"/>
      <c r="AJ1026" s="1670"/>
      <c r="AK1026" s="1670"/>
      <c r="AL1026" s="1670"/>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0" t="s">
        <v>600</v>
      </c>
      <c r="B1030" s="1370"/>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70" t="s">
        <v>600</v>
      </c>
      <c r="B1036" s="1370"/>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70" t="s">
        <v>600</v>
      </c>
      <c r="B1042" s="1370"/>
      <c r="C1042" s="8">
        <v>3</v>
      </c>
      <c r="D1042" s="1262" t="s">
        <v>2566</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70" t="s">
        <v>600</v>
      </c>
      <c r="B1049" s="1370"/>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70" t="s">
        <v>600</v>
      </c>
      <c r="B1052" s="1370"/>
      <c r="C1052" s="8">
        <v>5</v>
      </c>
      <c r="D1052" s="1262" t="s">
        <v>2567</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70" t="s">
        <v>600</v>
      </c>
      <c r="B1057" s="1370"/>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70" t="s">
        <v>600</v>
      </c>
      <c r="B1060" s="1370"/>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70" t="s">
        <v>600</v>
      </c>
      <c r="B1064" s="1370"/>
      <c r="C1064" s="212">
        <v>8</v>
      </c>
      <c r="D1064" s="1322" t="s">
        <v>1942</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70" t="s">
        <v>600</v>
      </c>
      <c r="B1068" s="1370"/>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O153:AH153"/>
    <mergeCell ref="O154:AH154"/>
    <mergeCell ref="AA289:AK289"/>
    <mergeCell ref="AA288:AK288"/>
    <mergeCell ref="AA286:AK286"/>
    <mergeCell ref="AA287:AK287"/>
    <mergeCell ref="AA297:AK297"/>
    <mergeCell ref="AA295:AK295"/>
    <mergeCell ref="AA294:AK294"/>
    <mergeCell ref="AA296:AK296"/>
    <mergeCell ref="AA299:AF299"/>
    <mergeCell ref="AA298:AF298"/>
    <mergeCell ref="AA300:AK300"/>
    <mergeCell ref="W466:Y466"/>
    <mergeCell ref="D405:AJ406"/>
    <mergeCell ref="W469:Y469"/>
    <mergeCell ref="D470:V470"/>
    <mergeCell ref="AG392:AJ392"/>
    <mergeCell ref="AG390:AJ390"/>
    <mergeCell ref="K403:AJ403"/>
    <mergeCell ref="D449:AF449"/>
    <mergeCell ref="D450:AJ451"/>
    <mergeCell ref="S401:U401"/>
    <mergeCell ref="E419:AJ419"/>
    <mergeCell ref="P424:Q424"/>
    <mergeCell ref="I417:K417"/>
    <mergeCell ref="S412:T412"/>
    <mergeCell ref="AE424:AF424"/>
    <mergeCell ref="D469:V469"/>
    <mergeCell ref="F456:AB457"/>
    <mergeCell ref="H286:R286"/>
    <mergeCell ref="AA256:AK256"/>
    <mergeCell ref="AM553:AS553"/>
    <mergeCell ref="AE553:AH553"/>
    <mergeCell ref="AC503:AF503"/>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O518:AA518"/>
    <mergeCell ref="AC505:AF505"/>
    <mergeCell ref="A542:AS543"/>
    <mergeCell ref="AC539:AF539"/>
    <mergeCell ref="AC504:AF504"/>
    <mergeCell ref="AC500:AF500"/>
    <mergeCell ref="AC528:AF528"/>
    <mergeCell ref="O524:AA524"/>
    <mergeCell ref="B515:H517"/>
    <mergeCell ref="AC522:AF522"/>
    <mergeCell ref="AH498:AK498"/>
    <mergeCell ref="AC517:AF517"/>
    <mergeCell ref="AH526:AK526"/>
    <mergeCell ref="B512:H514"/>
    <mergeCell ref="AH519:AK519"/>
    <mergeCell ref="AC520:AF520"/>
    <mergeCell ref="T549:V549"/>
    <mergeCell ref="AH505:AK505"/>
    <mergeCell ref="AC502:AF502"/>
    <mergeCell ref="T550:V550"/>
    <mergeCell ref="AC499:AF499"/>
    <mergeCell ref="AH524:AK524"/>
    <mergeCell ref="AC531:AF531"/>
    <mergeCell ref="J386:U386"/>
    <mergeCell ref="AC385:AJ385"/>
    <mergeCell ref="J387:U387"/>
    <mergeCell ref="B487:P488"/>
    <mergeCell ref="Q487:R488"/>
    <mergeCell ref="Q486:AK486"/>
    <mergeCell ref="Q491:AK491"/>
    <mergeCell ref="Q483:AK483"/>
    <mergeCell ref="D436:AF436"/>
    <mergeCell ref="D466:V466"/>
    <mergeCell ref="AC529:AF529"/>
    <mergeCell ref="M493:P493"/>
    <mergeCell ref="AH493:AK493"/>
    <mergeCell ref="AH527:AK527"/>
    <mergeCell ref="AH503:AK503"/>
    <mergeCell ref="W550:Y550"/>
    <mergeCell ref="AC536:AF536"/>
    <mergeCell ref="Q390:U390"/>
    <mergeCell ref="AE552:AH552"/>
    <mergeCell ref="B501:H506"/>
    <mergeCell ref="AC506:AF506"/>
    <mergeCell ref="AH514:AK514"/>
    <mergeCell ref="Q489:AK489"/>
    <mergeCell ref="AG446:AJ446"/>
    <mergeCell ref="D464:V464"/>
    <mergeCell ref="AH532:AK532"/>
    <mergeCell ref="AC513:AF513"/>
    <mergeCell ref="AC512:AF512"/>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T551:V551"/>
    <mergeCell ref="O160:T160"/>
    <mergeCell ref="O161:AH161"/>
    <mergeCell ref="D164:AH164"/>
    <mergeCell ref="N370:Q370"/>
    <mergeCell ref="V381:W381"/>
    <mergeCell ref="Y363:Z363"/>
    <mergeCell ref="AG379:AH379"/>
    <mergeCell ref="N377:P377"/>
    <mergeCell ref="AG400:AJ400"/>
    <mergeCell ref="AE401:AJ401"/>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Q392:U392"/>
    <mergeCell ref="AG393:AJ393"/>
    <mergeCell ref="A350:AL351"/>
    <mergeCell ref="AC384:AJ384"/>
    <mergeCell ref="AG376:AH376"/>
    <mergeCell ref="E417:G417"/>
    <mergeCell ref="AD410:AE410"/>
    <mergeCell ref="F426:AH427"/>
    <mergeCell ref="V376:W376"/>
    <mergeCell ref="S376:T376"/>
    <mergeCell ref="AI568:AK568"/>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W552:Y552"/>
    <mergeCell ref="Q555:S555"/>
    <mergeCell ref="AI552:AL552"/>
    <mergeCell ref="AC532:AF532"/>
    <mergeCell ref="AC527:AF527"/>
    <mergeCell ref="AH528:AK528"/>
    <mergeCell ref="Q550:S550"/>
    <mergeCell ref="AE554:AH554"/>
    <mergeCell ref="AI554:AL554"/>
    <mergeCell ref="AE559:AH559"/>
    <mergeCell ref="Q552:S552"/>
    <mergeCell ref="O731:S731"/>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AK735:AO735"/>
    <mergeCell ref="AD744:AF744"/>
    <mergeCell ref="T776:W776"/>
    <mergeCell ref="T772:W772"/>
    <mergeCell ref="T773:W773"/>
    <mergeCell ref="O774:S774"/>
    <mergeCell ref="J760:N760"/>
    <mergeCell ref="AC759:AG759"/>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BG595:BH595"/>
    <mergeCell ref="BG598:BH598"/>
    <mergeCell ref="BN597:BR597"/>
    <mergeCell ref="W555:Y555"/>
    <mergeCell ref="AA594:AK594"/>
    <mergeCell ref="T554:V554"/>
    <mergeCell ref="W557:Y557"/>
    <mergeCell ref="W558:Y558"/>
    <mergeCell ref="BN603:BR603"/>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AG603:AH603"/>
    <mergeCell ref="H602:R602"/>
    <mergeCell ref="P601:R601"/>
    <mergeCell ref="G601:L601"/>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CH611:CL611"/>
    <mergeCell ref="CH612:CL612"/>
    <mergeCell ref="BK602:BL602"/>
    <mergeCell ref="CC597:CG597"/>
    <mergeCell ref="Z555:AD555"/>
    <mergeCell ref="Z556:AD556"/>
    <mergeCell ref="Z600:AK600"/>
    <mergeCell ref="AI557:AL557"/>
    <mergeCell ref="AE558:AH558"/>
    <mergeCell ref="Z557:AD557"/>
    <mergeCell ref="BE611:BF611"/>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BE596:BF596"/>
    <mergeCell ref="Z597:AK597"/>
    <mergeCell ref="Z583:AK583"/>
    <mergeCell ref="BN599:BR599"/>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N571:O571"/>
    <mergeCell ref="G565:R565"/>
    <mergeCell ref="H578:R578"/>
    <mergeCell ref="G564:R564"/>
    <mergeCell ref="M570:R570"/>
    <mergeCell ref="W559:Y559"/>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Q557:S557"/>
    <mergeCell ref="Q558:S558"/>
    <mergeCell ref="Q559:S559"/>
    <mergeCell ref="AM557:AS557"/>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C556:L556"/>
    <mergeCell ref="M556:P556"/>
    <mergeCell ref="C557:L557"/>
    <mergeCell ref="AF429:AG429"/>
    <mergeCell ref="AH536:AK536"/>
    <mergeCell ref="Z553:AD553"/>
    <mergeCell ref="AH540:AK540"/>
    <mergeCell ref="AC540:AF540"/>
    <mergeCell ref="Q556:S556"/>
    <mergeCell ref="Q551:S551"/>
    <mergeCell ref="Q561:S561"/>
    <mergeCell ref="AE550:AH550"/>
    <mergeCell ref="Z552:AD552"/>
    <mergeCell ref="AI551:AL551"/>
    <mergeCell ref="T555:V555"/>
    <mergeCell ref="AC537:AF537"/>
    <mergeCell ref="Q549:S549"/>
    <mergeCell ref="C558:L558"/>
    <mergeCell ref="AE560:AH560"/>
    <mergeCell ref="W556:Y556"/>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AH504:AK504"/>
    <mergeCell ref="N369:Q369"/>
    <mergeCell ref="H313:R313"/>
    <mergeCell ref="W260:X260"/>
    <mergeCell ref="U262:W262"/>
    <mergeCell ref="AC534:AF534"/>
    <mergeCell ref="AH511:AK511"/>
    <mergeCell ref="AA311:AK311"/>
    <mergeCell ref="AI338:AK338"/>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I306:AK306"/>
    <mergeCell ref="L278:AD278"/>
    <mergeCell ref="AA323:AF323"/>
    <mergeCell ref="H315:M315"/>
    <mergeCell ref="AI314:AK314"/>
    <mergeCell ref="AA303:AK303"/>
    <mergeCell ref="AA248:AK248"/>
    <mergeCell ref="AA291:AF291"/>
    <mergeCell ref="AB275:AD275"/>
    <mergeCell ref="Y277:AD277"/>
    <mergeCell ref="AF258:AK258"/>
    <mergeCell ref="AC260:AE260"/>
    <mergeCell ref="M247:AE247"/>
    <mergeCell ref="AC252:AE252"/>
    <mergeCell ref="L276:AD276"/>
    <mergeCell ref="T277:V277"/>
    <mergeCell ref="Z254:AE254"/>
    <mergeCell ref="M254:R254"/>
    <mergeCell ref="M252:T252"/>
    <mergeCell ref="M261:AE261"/>
    <mergeCell ref="T266:X266"/>
    <mergeCell ref="U254:W254"/>
    <mergeCell ref="P298:R298"/>
    <mergeCell ref="A281:AL282"/>
    <mergeCell ref="H292:R292"/>
    <mergeCell ref="M263:AE263"/>
    <mergeCell ref="M251:AE251"/>
    <mergeCell ref="AA290:AF290"/>
    <mergeCell ref="AI290:AK290"/>
    <mergeCell ref="M258:AE258"/>
    <mergeCell ref="AA292:AK292"/>
    <mergeCell ref="M248:T248"/>
    <mergeCell ref="W252:X252"/>
    <mergeCell ref="M250:AE250"/>
    <mergeCell ref="M256:T256"/>
    <mergeCell ref="M255:AE255"/>
    <mergeCell ref="P290:R290"/>
    <mergeCell ref="L273:AJ273"/>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N371:Q371"/>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334:AK334"/>
    <mergeCell ref="AI298:AK298"/>
    <mergeCell ref="H296:R296"/>
    <mergeCell ref="H316:R316"/>
    <mergeCell ref="L275:S275"/>
    <mergeCell ref="L277:Q277"/>
    <mergeCell ref="P322:R322"/>
    <mergeCell ref="AA314:AF314"/>
    <mergeCell ref="H297:R297"/>
    <mergeCell ref="H311:R311"/>
    <mergeCell ref="AA338:AF338"/>
    <mergeCell ref="AA306:AF306"/>
    <mergeCell ref="AC346:AE346"/>
    <mergeCell ref="H312:R312"/>
    <mergeCell ref="AH723:AJ723"/>
    <mergeCell ref="G723:J723"/>
    <mergeCell ref="K736:N736"/>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H304:R304"/>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I391:N391"/>
    <mergeCell ref="W467:Y467"/>
    <mergeCell ref="H300:R300"/>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T723:W723"/>
    <mergeCell ref="X721:AB721"/>
    <mergeCell ref="X724:AB724"/>
    <mergeCell ref="B719:F719"/>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M810:P810"/>
    <mergeCell ref="AC768:AG771"/>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AC629:AE629"/>
    <mergeCell ref="AC630:AE630"/>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O779:S779"/>
    <mergeCell ref="O781:S781"/>
    <mergeCell ref="X762:AB762"/>
    <mergeCell ref="X754:AB757"/>
    <mergeCell ref="T768:W771"/>
    <mergeCell ref="X758:AB758"/>
    <mergeCell ref="AC760:AG760"/>
    <mergeCell ref="T754:W757"/>
    <mergeCell ref="AC778:AG778"/>
    <mergeCell ref="X760:AB760"/>
    <mergeCell ref="X761:AB761"/>
    <mergeCell ref="T779:W779"/>
    <mergeCell ref="T777:W777"/>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AC812:AF812"/>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38:AC838"/>
    <mergeCell ref="W846:AC846"/>
    <mergeCell ref="W862:AC862"/>
    <mergeCell ref="M830:V830"/>
    <mergeCell ref="W827:AC827"/>
    <mergeCell ref="J833:V833"/>
    <mergeCell ref="AC877:AH877"/>
    <mergeCell ref="W839:AC839"/>
    <mergeCell ref="AC876:AH876"/>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A949:AS950"/>
    <mergeCell ref="M941:S941"/>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O742:R742"/>
    <mergeCell ref="AG742:AJ742"/>
    <mergeCell ref="Y785:AC785"/>
    <mergeCell ref="J768:N771"/>
    <mergeCell ref="AH730:AJ730"/>
    <mergeCell ref="R958:AA958"/>
    <mergeCell ref="D1052:AK1056"/>
    <mergeCell ref="U914:Z914"/>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AC719:AG719"/>
    <mergeCell ref="AH717:AJ717"/>
    <mergeCell ref="T714:W714"/>
    <mergeCell ref="AH725:AJ725"/>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B635:AN635"/>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K619:BL619"/>
    <mergeCell ref="BX612:CB612"/>
    <mergeCell ref="CC612:CG612"/>
    <mergeCell ref="BG613:BH613"/>
    <mergeCell ref="BG612:BH612"/>
    <mergeCell ref="BK614:BL614"/>
    <mergeCell ref="CC613:CG613"/>
    <mergeCell ref="BN614:BR614"/>
    <mergeCell ref="BK615:BL615"/>
    <mergeCell ref="BS620:BW620"/>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M929:S929"/>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W829:AC829"/>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B725:F725"/>
    <mergeCell ref="T725:W725"/>
    <mergeCell ref="AH724:AJ724"/>
    <mergeCell ref="B718:F718"/>
    <mergeCell ref="T710:W713"/>
    <mergeCell ref="O715:S715"/>
    <mergeCell ref="X720:AB720"/>
    <mergeCell ref="AH718:AJ718"/>
    <mergeCell ref="AC720:AG720"/>
    <mergeCell ref="T719:W719"/>
    <mergeCell ref="B710:F713"/>
    <mergeCell ref="T718:W718"/>
    <mergeCell ref="B721:F721"/>
    <mergeCell ref="G568:L568"/>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Z798:AE798"/>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C631:AE631"/>
    <mergeCell ref="W628:Y628"/>
    <mergeCell ref="B738:F738"/>
    <mergeCell ref="O728:S728"/>
    <mergeCell ref="O729:S729"/>
    <mergeCell ref="AC732:AG732"/>
    <mergeCell ref="T734:W734"/>
    <mergeCell ref="T730:W730"/>
    <mergeCell ref="K730:N730"/>
    <mergeCell ref="K731:N731"/>
    <mergeCell ref="K732:N732"/>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C814:H814"/>
    <mergeCell ref="Y815:AB815"/>
    <mergeCell ref="O738:S738"/>
    <mergeCell ref="U807:X808"/>
    <mergeCell ref="T733:W733"/>
    <mergeCell ref="Z790:AE790"/>
    <mergeCell ref="AG813:AJ813"/>
    <mergeCell ref="AG811:AJ811"/>
    <mergeCell ref="O782:S782"/>
    <mergeCell ref="AC754:AG757"/>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A942:AG942"/>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CH628:CL628"/>
    <mergeCell ref="BS628:BW628"/>
    <mergeCell ref="BN626:BR626"/>
    <mergeCell ref="AF630:AJ630"/>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DC619:DG619"/>
    <mergeCell ref="CS619:CW619"/>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M621:DQ621"/>
    <mergeCell ref="DC620:DG620"/>
    <mergeCell ref="DM620:DQ620"/>
    <mergeCell ref="DH620:DL620"/>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DM616:DQ616"/>
    <mergeCell ref="CC619:CG619"/>
    <mergeCell ref="BX621:CB621"/>
    <mergeCell ref="CM628:CQ628"/>
    <mergeCell ref="CX619:DB619"/>
    <mergeCell ref="CS620:CW620"/>
    <mergeCell ref="CC638:CG638"/>
    <mergeCell ref="CC639:CG639"/>
    <mergeCell ref="CC641:CG641"/>
    <mergeCell ref="CC642:CG642"/>
    <mergeCell ref="CC643:CG643"/>
    <mergeCell ref="CH639:CL639"/>
    <mergeCell ref="BS639:BW639"/>
    <mergeCell ref="CC649:CG649"/>
    <mergeCell ref="BS649:BW649"/>
    <mergeCell ref="BX642:CB642"/>
    <mergeCell ref="BX643:CB643"/>
    <mergeCell ref="DR616:DV616"/>
    <mergeCell ref="CS621:CW621"/>
    <mergeCell ref="CX621:DB621"/>
    <mergeCell ref="CM636:CQ636"/>
    <mergeCell ref="CM635:CQ635"/>
    <mergeCell ref="BX636:CB636"/>
    <mergeCell ref="BS634:BW634"/>
    <mergeCell ref="CX637:DB637"/>
    <mergeCell ref="DC637:DG637"/>
    <mergeCell ref="DR640:DV640"/>
    <mergeCell ref="CX620:DB620"/>
    <mergeCell ref="CM640:CQ640"/>
    <mergeCell ref="CH638:CL638"/>
    <mergeCell ref="CS634:CW634"/>
    <mergeCell ref="CX634:DB634"/>
    <mergeCell ref="DC634:DG634"/>
    <mergeCell ref="CS635:CW635"/>
    <mergeCell ref="CH636:CL636"/>
    <mergeCell ref="CS639:CW639"/>
    <mergeCell ref="CX639:DB639"/>
    <mergeCell ref="CX635:DB635"/>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DH643:DL643"/>
    <mergeCell ref="DM643:DQ643"/>
    <mergeCell ref="DH644:DL644"/>
    <mergeCell ref="DM644:DQ644"/>
    <mergeCell ref="BS644:BW644"/>
    <mergeCell ref="BX644:CB644"/>
    <mergeCell ref="DH642:DL642"/>
    <mergeCell ref="A705:AO707"/>
    <mergeCell ref="AC710:AG713"/>
    <mergeCell ref="AC716:AG716"/>
    <mergeCell ref="O717:S717"/>
    <mergeCell ref="B727:F727"/>
    <mergeCell ref="B726:F726"/>
    <mergeCell ref="O727:S727"/>
    <mergeCell ref="O726:S726"/>
    <mergeCell ref="K726:N726"/>
    <mergeCell ref="K727:N727"/>
    <mergeCell ref="AC727:AG727"/>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X728:AB728"/>
    <mergeCell ref="AC728:AG728"/>
    <mergeCell ref="AC729:AG729"/>
    <mergeCell ref="AC735:AG735"/>
    <mergeCell ref="X726:AB726"/>
    <mergeCell ref="X727:AB727"/>
    <mergeCell ref="X731:AB731"/>
    <mergeCell ref="X732:AB732"/>
    <mergeCell ref="X733:AB73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AK722:AO722"/>
    <mergeCell ref="AK723:AO723"/>
    <mergeCell ref="X730:AB730"/>
    <mergeCell ref="X729:AB729"/>
    <mergeCell ref="G651:L651"/>
    <mergeCell ref="G656:R656"/>
    <mergeCell ref="X710:AB713"/>
    <mergeCell ref="Z675:AE675"/>
    <mergeCell ref="H676:R676"/>
    <mergeCell ref="Z666:AK666"/>
    <mergeCell ref="X715:AB715"/>
    <mergeCell ref="AK710:AO713"/>
    <mergeCell ref="B736:F736"/>
    <mergeCell ref="O735:S735"/>
    <mergeCell ref="O736:S736"/>
    <mergeCell ref="K737:N737"/>
    <mergeCell ref="K738:N738"/>
    <mergeCell ref="O732:S732"/>
    <mergeCell ref="K734:N734"/>
    <mergeCell ref="G726:J726"/>
    <mergeCell ref="T731:W731"/>
    <mergeCell ref="G735:J735"/>
    <mergeCell ref="T732:W732"/>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T634:V634"/>
    <mergeCell ref="Q620:S622"/>
    <mergeCell ref="Q623:S623"/>
    <mergeCell ref="Q624:S624"/>
    <mergeCell ref="Z634:AB634"/>
    <mergeCell ref="W623:Y623"/>
    <mergeCell ref="N611:O611"/>
    <mergeCell ref="Q625:S625"/>
    <mergeCell ref="Q626:S626"/>
    <mergeCell ref="Q627:S627"/>
    <mergeCell ref="Q628:S628"/>
    <mergeCell ref="Q629:S629"/>
    <mergeCell ref="Q630:S630"/>
    <mergeCell ref="Q631:S631"/>
    <mergeCell ref="AK726:AO726"/>
    <mergeCell ref="AK732:AO732"/>
    <mergeCell ref="AK733:AO733"/>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G598:R598"/>
    <mergeCell ref="N595:O595"/>
    <mergeCell ref="C632:L632"/>
    <mergeCell ref="C633:L633"/>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C634:L634"/>
    <mergeCell ref="P609:R609"/>
    <mergeCell ref="G573:R573"/>
    <mergeCell ref="G590:R590"/>
    <mergeCell ref="Q560:S560"/>
    <mergeCell ref="W560:Y560"/>
    <mergeCell ref="T556:V556"/>
    <mergeCell ref="G566:R566"/>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W620:Y622"/>
    <mergeCell ref="T620:V622"/>
    <mergeCell ref="G607:R607"/>
    <mergeCell ref="G600:R600"/>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4" zoomScaleNormal="100" zoomScaleSheetLayoutView="90" workbookViewId="0">
      <selection activeCell="C87" sqref="C8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0" t="s">
        <v>630</v>
      </c>
      <c r="G1" s="1851"/>
      <c r="H1" s="1851"/>
      <c r="I1" s="1851"/>
      <c r="J1" s="1851"/>
      <c r="K1" s="1851"/>
      <c r="L1" s="1851"/>
      <c r="M1" s="1851"/>
      <c r="N1" s="1851"/>
      <c r="O1" s="1851"/>
      <c r="P1" s="1851"/>
      <c r="Q1" s="1851"/>
      <c r="R1" s="1852"/>
      <c r="S1" s="112"/>
      <c r="T1" s="111"/>
      <c r="U1" s="113"/>
    </row>
    <row r="2" spans="1:21" s="138" customFormat="1" ht="71.25" customHeight="1">
      <c r="A2" s="137"/>
      <c r="B2" s="138" t="s">
        <v>23</v>
      </c>
      <c r="C2" s="138" t="s">
        <v>375</v>
      </c>
      <c r="D2" s="138" t="s">
        <v>374</v>
      </c>
      <c r="E2" s="138" t="s">
        <v>24</v>
      </c>
      <c r="F2" s="139" t="str">
        <f>Application!B623&amp;Application!C623</f>
        <v>1)Citibank, N.A.</v>
      </c>
      <c r="G2" s="139" t="str">
        <f>Application!B624&amp;Application!C624</f>
        <v>2)NOI during Construction</v>
      </c>
      <c r="H2" s="139" t="str">
        <f>Application!B625&amp;Application!C625</f>
        <v>3)USA Multi-Family Development,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f>
        <v>1</v>
      </c>
      <c r="F4" s="147"/>
      <c r="G4" s="147"/>
      <c r="H4" s="147"/>
      <c r="I4" s="147"/>
      <c r="J4" s="147"/>
      <c r="K4" s="147"/>
      <c r="L4" s="147"/>
      <c r="M4" s="147"/>
      <c r="N4" s="147"/>
      <c r="O4" s="147"/>
      <c r="P4" s="147"/>
      <c r="Q4" s="147"/>
      <c r="R4" s="551">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103526</v>
      </c>
      <c r="C10" s="147">
        <v>103526</v>
      </c>
      <c r="D10" s="147"/>
      <c r="E10" s="147">
        <f>C10</f>
        <v>103526</v>
      </c>
      <c r="F10" s="147"/>
      <c r="G10" s="147"/>
      <c r="H10" s="147"/>
      <c r="I10" s="147"/>
      <c r="J10" s="147"/>
      <c r="K10" s="147"/>
      <c r="L10" s="147"/>
      <c r="M10" s="147"/>
      <c r="N10" s="147"/>
      <c r="O10" s="147"/>
      <c r="P10" s="147"/>
      <c r="Q10" s="147"/>
      <c r="R10" s="551">
        <f>SUM(E10:Q10)</f>
        <v>103526</v>
      </c>
      <c r="S10" s="147">
        <f>C10</f>
        <v>103526</v>
      </c>
      <c r="T10" s="147"/>
      <c r="U10" s="143"/>
    </row>
    <row r="11" spans="1:21" s="144" customFormat="1">
      <c r="A11" s="149" t="s">
        <v>605</v>
      </c>
      <c r="B11" s="146">
        <f>SUM(C11:D11)</f>
        <v>103526</v>
      </c>
      <c r="C11" s="146">
        <f t="shared" ref="C11:Q11" si="1">SUM(C9:C10)</f>
        <v>103526</v>
      </c>
      <c r="D11" s="146">
        <f t="shared" si="1"/>
        <v>0</v>
      </c>
      <c r="E11" s="146">
        <f t="shared" si="1"/>
        <v>103526</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103526</v>
      </c>
      <c r="S11" s="148"/>
      <c r="T11" s="150">
        <f>SUM(T9:T10)</f>
        <v>0</v>
      </c>
      <c r="U11" s="143"/>
    </row>
    <row r="12" spans="1:21" s="144" customFormat="1">
      <c r="A12" s="149" t="s">
        <v>85</v>
      </c>
      <c r="B12" s="146">
        <f t="shared" ref="B12:Q12" si="2">SUM(B8+B11)</f>
        <v>103527</v>
      </c>
      <c r="C12" s="146">
        <f t="shared" si="2"/>
        <v>103527</v>
      </c>
      <c r="D12" s="146">
        <f t="shared" si="2"/>
        <v>0</v>
      </c>
      <c r="E12" s="146">
        <f t="shared" si="2"/>
        <v>103527</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103527</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3450858</v>
      </c>
      <c r="C29" s="147">
        <v>3450858</v>
      </c>
      <c r="D29" s="147"/>
      <c r="E29" s="147"/>
      <c r="F29" s="147">
        <f>C29</f>
        <v>3450858</v>
      </c>
      <c r="G29" s="147"/>
      <c r="H29" s="147"/>
      <c r="I29" s="147"/>
      <c r="J29" s="147"/>
      <c r="K29" s="147"/>
      <c r="L29" s="147"/>
      <c r="M29" s="147"/>
      <c r="N29" s="147"/>
      <c r="O29" s="147"/>
      <c r="P29" s="147"/>
      <c r="Q29" s="147"/>
      <c r="R29" s="551">
        <f t="shared" ref="R29:R37" si="7">SUM(E29:Q29)</f>
        <v>3450858</v>
      </c>
      <c r="S29" s="147">
        <f>C29</f>
        <v>3450858</v>
      </c>
      <c r="T29" s="147"/>
      <c r="U29" s="143"/>
    </row>
    <row r="30" spans="1:21" s="144" customFormat="1">
      <c r="A30" s="145" t="s">
        <v>608</v>
      </c>
      <c r="B30" s="146">
        <f t="shared" si="6"/>
        <v>18253960</v>
      </c>
      <c r="C30" s="147">
        <v>18253960</v>
      </c>
      <c r="D30" s="147"/>
      <c r="E30" s="147">
        <f>C30-F30</f>
        <v>8744818</v>
      </c>
      <c r="F30" s="147">
        <f>F108-F29</f>
        <v>9509142</v>
      </c>
      <c r="G30" s="147"/>
      <c r="H30" s="147"/>
      <c r="I30" s="147"/>
      <c r="J30" s="147"/>
      <c r="K30" s="147"/>
      <c r="L30" s="147"/>
      <c r="M30" s="147"/>
      <c r="N30" s="147"/>
      <c r="O30" s="147"/>
      <c r="P30" s="147"/>
      <c r="Q30" s="147"/>
      <c r="R30" s="551">
        <f t="shared" si="7"/>
        <v>18253960</v>
      </c>
      <c r="S30" s="147">
        <f t="shared" ref="S30:S35" si="8">C30</f>
        <v>18253960</v>
      </c>
      <c r="T30" s="147"/>
      <c r="U30" s="143"/>
    </row>
    <row r="31" spans="1:21" s="144" customFormat="1">
      <c r="A31" s="145" t="s">
        <v>609</v>
      </c>
      <c r="B31" s="146">
        <f t="shared" si="6"/>
        <v>975000</v>
      </c>
      <c r="C31" s="147">
        <v>975000</v>
      </c>
      <c r="D31" s="147"/>
      <c r="E31" s="147">
        <f>C31</f>
        <v>975000</v>
      </c>
      <c r="F31" s="147"/>
      <c r="G31" s="147"/>
      <c r="H31" s="147"/>
      <c r="I31" s="147"/>
      <c r="J31" s="147"/>
      <c r="K31" s="147"/>
      <c r="L31" s="147"/>
      <c r="M31" s="147"/>
      <c r="N31" s="147"/>
      <c r="O31" s="147"/>
      <c r="P31" s="147"/>
      <c r="Q31" s="147"/>
      <c r="R31" s="551">
        <f t="shared" si="7"/>
        <v>975000</v>
      </c>
      <c r="S31" s="147">
        <f t="shared" si="8"/>
        <v>975000</v>
      </c>
      <c r="T31" s="147"/>
      <c r="U31" s="143"/>
    </row>
    <row r="32" spans="1:21" s="144" customFormat="1">
      <c r="A32" s="145" t="s">
        <v>138</v>
      </c>
      <c r="B32" s="146">
        <f t="shared" si="6"/>
        <v>1085539</v>
      </c>
      <c r="C32" s="147">
        <v>1085539</v>
      </c>
      <c r="D32" s="147"/>
      <c r="E32" s="147">
        <f>C32</f>
        <v>1085539</v>
      </c>
      <c r="F32" s="147"/>
      <c r="G32" s="147"/>
      <c r="H32" s="147"/>
      <c r="I32" s="147"/>
      <c r="J32" s="147"/>
      <c r="K32" s="147"/>
      <c r="L32" s="147"/>
      <c r="M32" s="147"/>
      <c r="N32" s="147"/>
      <c r="O32" s="147"/>
      <c r="P32" s="147"/>
      <c r="Q32" s="147"/>
      <c r="R32" s="551">
        <f t="shared" si="7"/>
        <v>1085539</v>
      </c>
      <c r="S32" s="147">
        <f t="shared" si="8"/>
        <v>1085539</v>
      </c>
      <c r="T32" s="147"/>
      <c r="U32" s="143"/>
    </row>
    <row r="33" spans="1:21" s="144" customFormat="1">
      <c r="A33" s="145" t="s">
        <v>139</v>
      </c>
      <c r="B33" s="146">
        <f t="shared" si="6"/>
        <v>1085539</v>
      </c>
      <c r="C33" s="147">
        <v>1085539</v>
      </c>
      <c r="D33" s="147"/>
      <c r="E33" s="147">
        <f>C33</f>
        <v>1085539</v>
      </c>
      <c r="F33" s="147"/>
      <c r="G33" s="147"/>
      <c r="H33" s="147"/>
      <c r="I33" s="147"/>
      <c r="J33" s="147"/>
      <c r="K33" s="147"/>
      <c r="L33" s="147"/>
      <c r="M33" s="147"/>
      <c r="N33" s="147"/>
      <c r="O33" s="147"/>
      <c r="P33" s="147"/>
      <c r="Q33" s="147"/>
      <c r="R33" s="551">
        <f t="shared" si="7"/>
        <v>1085539</v>
      </c>
      <c r="S33" s="147">
        <f t="shared" si="8"/>
        <v>1085539</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658797</v>
      </c>
      <c r="C35" s="147">
        <v>658797</v>
      </c>
      <c r="D35" s="147"/>
      <c r="E35" s="147">
        <f>C35</f>
        <v>658797</v>
      </c>
      <c r="F35" s="147"/>
      <c r="G35" s="147"/>
      <c r="H35" s="147"/>
      <c r="I35" s="147"/>
      <c r="J35" s="147"/>
      <c r="K35" s="147"/>
      <c r="L35" s="147"/>
      <c r="M35" s="147"/>
      <c r="N35" s="147"/>
      <c r="O35" s="147"/>
      <c r="P35" s="147"/>
      <c r="Q35" s="147"/>
      <c r="R35" s="551">
        <f t="shared" si="7"/>
        <v>658797</v>
      </c>
      <c r="S35" s="147">
        <f t="shared" si="8"/>
        <v>658797</v>
      </c>
      <c r="T35" s="147"/>
      <c r="U35" s="143"/>
    </row>
    <row r="36" spans="1:21" s="144" customFormat="1">
      <c r="A36" s="304" t="s">
        <v>1820</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25509693</v>
      </c>
      <c r="C38" s="146">
        <f>SUM(C29:C37)</f>
        <v>25509693</v>
      </c>
      <c r="D38" s="146">
        <f t="shared" ref="D38:Q38" si="9">SUM(D29:D37)</f>
        <v>0</v>
      </c>
      <c r="E38" s="146">
        <f t="shared" si="9"/>
        <v>12549693</v>
      </c>
      <c r="F38" s="146">
        <f t="shared" si="9"/>
        <v>12960000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25509693</v>
      </c>
      <c r="S38" s="150">
        <f>SUM(S29:S37)</f>
        <v>25509693</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910402</v>
      </c>
      <c r="C40" s="147">
        <v>910402</v>
      </c>
      <c r="D40" s="147"/>
      <c r="E40" s="147">
        <f>C40</f>
        <v>910402</v>
      </c>
      <c r="F40" s="147"/>
      <c r="G40" s="147"/>
      <c r="H40" s="147"/>
      <c r="I40" s="147"/>
      <c r="J40" s="147"/>
      <c r="K40" s="147"/>
      <c r="L40" s="147"/>
      <c r="M40" s="147"/>
      <c r="N40" s="147"/>
      <c r="O40" s="147"/>
      <c r="P40" s="147"/>
      <c r="Q40" s="147"/>
      <c r="R40" s="551">
        <f>SUM(E40:Q40)</f>
        <v>910402</v>
      </c>
      <c r="S40" s="147">
        <f>C40</f>
        <v>910402</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910402</v>
      </c>
      <c r="C42" s="146">
        <f>SUM(C39:C41)</f>
        <v>910402</v>
      </c>
      <c r="D42" s="146">
        <f>SUM(D39:D41)</f>
        <v>0</v>
      </c>
      <c r="E42" s="146">
        <f t="shared" ref="E42:T42" si="10">SUM(E40:E41)</f>
        <v>910402</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910402</v>
      </c>
      <c r="S42" s="150">
        <f t="shared" si="10"/>
        <v>910402</v>
      </c>
      <c r="T42" s="150">
        <f t="shared" si="10"/>
        <v>0</v>
      </c>
      <c r="U42" s="143"/>
    </row>
    <row r="43" spans="1:21" s="144" customFormat="1">
      <c r="A43" s="149" t="s">
        <v>149</v>
      </c>
      <c r="B43" s="146">
        <f>SUM(C43:D43)</f>
        <v>186953</v>
      </c>
      <c r="C43" s="147">
        <v>186953</v>
      </c>
      <c r="D43" s="147"/>
      <c r="E43" s="147">
        <f>C43</f>
        <v>186953</v>
      </c>
      <c r="F43" s="147"/>
      <c r="G43" s="147"/>
      <c r="H43" s="147"/>
      <c r="I43" s="147"/>
      <c r="J43" s="147"/>
      <c r="K43" s="147"/>
      <c r="L43" s="147"/>
      <c r="M43" s="147"/>
      <c r="N43" s="147"/>
      <c r="O43" s="147"/>
      <c r="P43" s="147"/>
      <c r="Q43" s="147"/>
      <c r="R43" s="551">
        <f>SUM(E43:Q43)</f>
        <v>186953</v>
      </c>
      <c r="S43" s="147">
        <f>C43</f>
        <v>186953</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1617446</v>
      </c>
      <c r="C45" s="147">
        <v>1617446</v>
      </c>
      <c r="D45" s="147"/>
      <c r="E45" s="147">
        <f>C45</f>
        <v>1617446</v>
      </c>
      <c r="F45" s="147"/>
      <c r="G45" s="147"/>
      <c r="H45" s="147"/>
      <c r="I45" s="147"/>
      <c r="J45" s="147"/>
      <c r="K45" s="147"/>
      <c r="L45" s="147"/>
      <c r="M45" s="147"/>
      <c r="N45" s="147"/>
      <c r="O45" s="147"/>
      <c r="P45" s="147"/>
      <c r="Q45" s="147"/>
      <c r="R45" s="551">
        <f t="shared" ref="R45:R53" si="12">SUM(E45:Q45)</f>
        <v>1617446</v>
      </c>
      <c r="S45" s="147">
        <f>C45</f>
        <v>1617446</v>
      </c>
      <c r="T45" s="147"/>
      <c r="U45" s="143"/>
    </row>
    <row r="46" spans="1:21" s="144" customFormat="1">
      <c r="A46" s="145" t="s">
        <v>152</v>
      </c>
      <c r="B46" s="146">
        <f t="shared" si="11"/>
        <v>45273</v>
      </c>
      <c r="C46" s="147">
        <v>45273</v>
      </c>
      <c r="D46" s="147"/>
      <c r="E46" s="147">
        <f>C46</f>
        <v>45273</v>
      </c>
      <c r="F46" s="147"/>
      <c r="G46" s="147"/>
      <c r="H46" s="147"/>
      <c r="I46" s="147"/>
      <c r="J46" s="147"/>
      <c r="K46" s="147"/>
      <c r="L46" s="147"/>
      <c r="M46" s="147"/>
      <c r="N46" s="147"/>
      <c r="O46" s="147"/>
      <c r="P46" s="147"/>
      <c r="Q46" s="147"/>
      <c r="R46" s="551">
        <f t="shared" si="12"/>
        <v>45273</v>
      </c>
      <c r="S46" s="147">
        <f>C46</f>
        <v>45273</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c r="T49" s="147"/>
      <c r="U49" s="143"/>
    </row>
    <row r="50" spans="1:21" s="144" customFormat="1">
      <c r="A50" s="145" t="s">
        <v>157</v>
      </c>
      <c r="B50" s="146">
        <f t="shared" si="11"/>
        <v>110000</v>
      </c>
      <c r="C50" s="147">
        <v>110000</v>
      </c>
      <c r="D50" s="147"/>
      <c r="E50" s="147">
        <f>C50</f>
        <v>110000</v>
      </c>
      <c r="F50" s="147"/>
      <c r="G50" s="147"/>
      <c r="H50" s="147"/>
      <c r="I50" s="147"/>
      <c r="J50" s="147"/>
      <c r="K50" s="147"/>
      <c r="L50" s="147"/>
      <c r="M50" s="147"/>
      <c r="N50" s="147"/>
      <c r="O50" s="147"/>
      <c r="P50" s="147"/>
      <c r="Q50" s="147"/>
      <c r="R50" s="551">
        <f t="shared" si="12"/>
        <v>110000</v>
      </c>
      <c r="S50" s="147">
        <f>C50</f>
        <v>110000</v>
      </c>
      <c r="T50" s="147"/>
      <c r="U50" s="143"/>
    </row>
    <row r="51" spans="1:21" s="144" customFormat="1">
      <c r="A51" s="304" t="s">
        <v>155</v>
      </c>
      <c r="B51" s="146">
        <f t="shared" si="11"/>
        <v>74037</v>
      </c>
      <c r="C51" s="147">
        <v>74037</v>
      </c>
      <c r="D51" s="147"/>
      <c r="E51" s="147">
        <f>C51</f>
        <v>74037</v>
      </c>
      <c r="F51" s="147"/>
      <c r="G51" s="147"/>
      <c r="H51" s="147"/>
      <c r="I51" s="147"/>
      <c r="J51" s="147"/>
      <c r="K51" s="147"/>
      <c r="L51" s="147"/>
      <c r="M51" s="147"/>
      <c r="N51" s="147"/>
      <c r="O51" s="147"/>
      <c r="P51" s="147"/>
      <c r="Q51" s="147"/>
      <c r="R51" s="551">
        <f t="shared" si="12"/>
        <v>74037</v>
      </c>
      <c r="S51" s="147">
        <f>C51</f>
        <v>74037</v>
      </c>
      <c r="T51" s="147"/>
      <c r="U51" s="143"/>
    </row>
    <row r="52" spans="1:21" s="144" customFormat="1">
      <c r="A52" s="145" t="s">
        <v>156</v>
      </c>
      <c r="B52" s="146">
        <f t="shared" si="11"/>
        <v>0</v>
      </c>
      <c r="C52" s="147"/>
      <c r="D52" s="147"/>
      <c r="E52" s="147"/>
      <c r="F52" s="147"/>
      <c r="G52" s="147"/>
      <c r="H52" s="147"/>
      <c r="I52" s="147"/>
      <c r="J52" s="147"/>
      <c r="K52" s="147"/>
      <c r="L52" s="147"/>
      <c r="M52" s="147"/>
      <c r="N52" s="147"/>
      <c r="O52" s="147"/>
      <c r="P52" s="147"/>
      <c r="Q52" s="147"/>
      <c r="R52" s="551">
        <f t="shared" si="12"/>
        <v>0</v>
      </c>
      <c r="S52" s="147"/>
      <c r="T52" s="147"/>
      <c r="U52" s="143"/>
    </row>
    <row r="53" spans="1:21" s="144" customFormat="1">
      <c r="A53" s="1202" t="s">
        <v>2698</v>
      </c>
      <c r="B53" s="146">
        <f t="shared" si="11"/>
        <v>27000</v>
      </c>
      <c r="C53" s="147">
        <v>27000</v>
      </c>
      <c r="D53" s="147"/>
      <c r="E53" s="147">
        <f>C53</f>
        <v>27000</v>
      </c>
      <c r="F53" s="147"/>
      <c r="G53" s="147"/>
      <c r="H53" s="147"/>
      <c r="I53" s="147"/>
      <c r="J53" s="147"/>
      <c r="K53" s="147"/>
      <c r="L53" s="147"/>
      <c r="M53" s="147"/>
      <c r="N53" s="147"/>
      <c r="O53" s="147"/>
      <c r="P53" s="147"/>
      <c r="Q53" s="147"/>
      <c r="R53" s="551">
        <f t="shared" si="12"/>
        <v>27000</v>
      </c>
      <c r="S53" s="147">
        <f>C53</f>
        <v>27000</v>
      </c>
      <c r="T53" s="147"/>
      <c r="U53" s="143"/>
    </row>
    <row r="54" spans="1:21" s="153" customFormat="1">
      <c r="A54" s="149" t="s">
        <v>158</v>
      </c>
      <c r="B54" s="150">
        <f>SUM(C54:D54)</f>
        <v>1873756</v>
      </c>
      <c r="C54" s="150">
        <f t="shared" ref="C54:T54" si="13">SUM(C45:C53)</f>
        <v>1873756</v>
      </c>
      <c r="D54" s="150">
        <f t="shared" si="13"/>
        <v>0</v>
      </c>
      <c r="E54" s="150">
        <f t="shared" si="13"/>
        <v>1873756</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1873756</v>
      </c>
      <c r="S54" s="150">
        <f t="shared" si="13"/>
        <v>1873756</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290465</v>
      </c>
      <c r="C56" s="147">
        <v>290465</v>
      </c>
      <c r="D56" s="147"/>
      <c r="E56" s="147">
        <f t="shared" ref="E56:E57" si="15">C56</f>
        <v>290465</v>
      </c>
      <c r="F56" s="147"/>
      <c r="G56" s="147"/>
      <c r="H56" s="147"/>
      <c r="I56" s="147"/>
      <c r="J56" s="147"/>
      <c r="K56" s="147"/>
      <c r="L56" s="147"/>
      <c r="M56" s="147"/>
      <c r="N56" s="147"/>
      <c r="O56" s="147"/>
      <c r="P56" s="147"/>
      <c r="Q56" s="147"/>
      <c r="R56" s="551">
        <f t="shared" ref="R56:R61" si="16">SUM(E56:Q56)</f>
        <v>290465</v>
      </c>
      <c r="S56" s="148"/>
      <c r="T56" s="148"/>
      <c r="U56" s="143"/>
    </row>
    <row r="57" spans="1:21" s="204" customFormat="1">
      <c r="A57" s="198" t="s">
        <v>153</v>
      </c>
      <c r="B57" s="205">
        <f t="shared" si="14"/>
        <v>199853</v>
      </c>
      <c r="C57" s="202">
        <v>199853</v>
      </c>
      <c r="D57" s="202"/>
      <c r="E57" s="202">
        <f t="shared" si="15"/>
        <v>199853</v>
      </c>
      <c r="F57" s="202"/>
      <c r="G57" s="202"/>
      <c r="H57" s="202"/>
      <c r="I57" s="202"/>
      <c r="J57" s="202"/>
      <c r="K57" s="202"/>
      <c r="L57" s="202"/>
      <c r="M57" s="202"/>
      <c r="N57" s="202"/>
      <c r="O57" s="202"/>
      <c r="P57" s="202"/>
      <c r="Q57" s="202"/>
      <c r="R57" s="551">
        <f t="shared" si="16"/>
        <v>199853</v>
      </c>
      <c r="S57" s="206"/>
      <c r="T57" s="206"/>
      <c r="U57" s="203"/>
    </row>
    <row r="58" spans="1:21" s="144" customFormat="1">
      <c r="A58" s="145" t="s">
        <v>157</v>
      </c>
      <c r="B58" s="146">
        <f t="shared" si="14"/>
        <v>0</v>
      </c>
      <c r="C58" s="147"/>
      <c r="D58" s="147"/>
      <c r="E58" s="147"/>
      <c r="F58" s="147"/>
      <c r="G58" s="147"/>
      <c r="H58" s="147"/>
      <c r="I58" s="147"/>
      <c r="J58" s="147"/>
      <c r="K58" s="147"/>
      <c r="L58" s="147"/>
      <c r="M58" s="147"/>
      <c r="N58" s="147"/>
      <c r="O58" s="147"/>
      <c r="P58" s="147"/>
      <c r="Q58" s="147"/>
      <c r="R58" s="551">
        <f t="shared" si="16"/>
        <v>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6"/>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6"/>
        <v>0</v>
      </c>
      <c r="S60" s="148"/>
      <c r="T60" s="148"/>
      <c r="U60" s="143"/>
    </row>
    <row r="61" spans="1:21" s="144" customFormat="1">
      <c r="A61" s="1202" t="s">
        <v>2699</v>
      </c>
      <c r="B61" s="146">
        <f t="shared" si="14"/>
        <v>2569711</v>
      </c>
      <c r="C61" s="147">
        <v>2569711</v>
      </c>
      <c r="D61" s="147"/>
      <c r="E61" s="147">
        <f>C61-G61</f>
        <v>1477175</v>
      </c>
      <c r="F61" s="147"/>
      <c r="G61" s="147">
        <f>G108</f>
        <v>1092536</v>
      </c>
      <c r="H61" s="147"/>
      <c r="I61" s="147"/>
      <c r="J61" s="147"/>
      <c r="K61" s="147"/>
      <c r="L61" s="147"/>
      <c r="M61" s="147"/>
      <c r="N61" s="147"/>
      <c r="O61" s="147"/>
      <c r="P61" s="147"/>
      <c r="Q61" s="147"/>
      <c r="R61" s="551">
        <f t="shared" si="16"/>
        <v>2569711</v>
      </c>
      <c r="S61" s="148"/>
      <c r="T61" s="148"/>
      <c r="U61" s="143"/>
    </row>
    <row r="62" spans="1:21" s="144" customFormat="1" ht="13.7" customHeight="1">
      <c r="A62" s="149" t="s">
        <v>302</v>
      </c>
      <c r="B62" s="146">
        <f>SUM(C62:D62)</f>
        <v>3060029</v>
      </c>
      <c r="C62" s="146">
        <f t="shared" ref="C62:R62" si="17">SUM(C56:C61)</f>
        <v>3060029</v>
      </c>
      <c r="D62" s="146">
        <f t="shared" si="17"/>
        <v>0</v>
      </c>
      <c r="E62" s="146">
        <f t="shared" si="17"/>
        <v>1967493</v>
      </c>
      <c r="F62" s="146">
        <f t="shared" si="17"/>
        <v>0</v>
      </c>
      <c r="G62" s="146">
        <f t="shared" si="17"/>
        <v>1092536</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1">
        <f t="shared" si="17"/>
        <v>3060029</v>
      </c>
      <c r="S62" s="148"/>
      <c r="T62" s="148"/>
      <c r="U62" s="143"/>
    </row>
    <row r="63" spans="1:21" s="144" customFormat="1">
      <c r="A63" s="154" t="s">
        <v>303</v>
      </c>
      <c r="B63" s="146">
        <f t="shared" ref="B63:R63" si="18">SUM(B8+B11+B13+B14+B15+B26+B27+B38+B42+B43+B54+B62)</f>
        <v>31644360</v>
      </c>
      <c r="C63" s="146">
        <f t="shared" si="18"/>
        <v>31644360</v>
      </c>
      <c r="D63" s="146">
        <f t="shared" si="18"/>
        <v>0</v>
      </c>
      <c r="E63" s="146">
        <f t="shared" si="18"/>
        <v>17591824</v>
      </c>
      <c r="F63" s="146">
        <f t="shared" si="18"/>
        <v>12960000</v>
      </c>
      <c r="G63" s="146">
        <f t="shared" si="18"/>
        <v>1092536</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1">
        <f t="shared" si="18"/>
        <v>31644360</v>
      </c>
      <c r="S63" s="146">
        <f>SUM(S10+S13+S14+S15+S26+S27+S38+S42+S43+S54)</f>
        <v>28584330</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c r="E65" s="147">
        <f>C65</f>
        <v>85000</v>
      </c>
      <c r="F65" s="147"/>
      <c r="G65" s="147"/>
      <c r="H65" s="147"/>
      <c r="I65" s="147"/>
      <c r="J65" s="147"/>
      <c r="K65" s="147"/>
      <c r="L65" s="147"/>
      <c r="M65" s="147"/>
      <c r="N65" s="147"/>
      <c r="O65" s="147"/>
      <c r="P65" s="147"/>
      <c r="Q65" s="147"/>
      <c r="R65" s="551">
        <f>SUM(E65:Q65)</f>
        <v>85000</v>
      </c>
      <c r="S65" s="147"/>
      <c r="T65" s="147"/>
      <c r="U65" s="143"/>
    </row>
    <row r="66" spans="1:21" s="144" customFormat="1" ht="24" customHeight="1">
      <c r="A66" s="304" t="s">
        <v>1821</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1825</v>
      </c>
      <c r="B70" s="146">
        <f>SUM(C70:D70)</f>
        <v>85000</v>
      </c>
      <c r="C70" s="146">
        <f>SUM(C65:C69)</f>
        <v>85000</v>
      </c>
      <c r="D70" s="146">
        <f>SUM(D65:D69)</f>
        <v>0</v>
      </c>
      <c r="E70" s="146">
        <f t="shared" ref="E70:T70" si="19">SUM(E65:E69)</f>
        <v>85000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1">
        <f t="shared" si="19"/>
        <v>85000</v>
      </c>
      <c r="S70" s="150">
        <f t="shared" si="19"/>
        <v>0</v>
      </c>
      <c r="T70" s="150">
        <f t="shared" si="19"/>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386574</v>
      </c>
      <c r="C75" s="147">
        <v>386574</v>
      </c>
      <c r="D75" s="147"/>
      <c r="E75" s="147">
        <f>C75</f>
        <v>386574</v>
      </c>
      <c r="F75" s="147"/>
      <c r="G75" s="147"/>
      <c r="H75" s="147"/>
      <c r="I75" s="147"/>
      <c r="J75" s="147"/>
      <c r="K75" s="147"/>
      <c r="L75" s="147"/>
      <c r="M75" s="147"/>
      <c r="N75" s="147"/>
      <c r="O75" s="147"/>
      <c r="P75" s="147"/>
      <c r="Q75" s="147"/>
      <c r="R75" s="551">
        <f>SUM(E75:Q75)</f>
        <v>386574</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386574</v>
      </c>
      <c r="C77" s="146">
        <f>SUM(C72:C76)</f>
        <v>386574</v>
      </c>
      <c r="D77" s="146">
        <f>SUM(D72:D76)</f>
        <v>0</v>
      </c>
      <c r="E77" s="146">
        <f t="shared" ref="E77:Q77" si="20">SUM(E72:E76)</f>
        <v>386574</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1">
        <f>SUM(R72:R76)</f>
        <v>386574</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2495443</v>
      </c>
      <c r="C79" s="147">
        <v>2495443</v>
      </c>
      <c r="D79" s="147"/>
      <c r="E79" s="147">
        <f>C79</f>
        <v>2495443</v>
      </c>
      <c r="F79" s="147"/>
      <c r="G79" s="147"/>
      <c r="H79" s="147"/>
      <c r="I79" s="147"/>
      <c r="J79" s="147"/>
      <c r="K79" s="147"/>
      <c r="L79" s="147"/>
      <c r="M79" s="147"/>
      <c r="N79" s="147"/>
      <c r="O79" s="147"/>
      <c r="P79" s="147"/>
      <c r="Q79" s="147"/>
      <c r="R79" s="551">
        <f>SUM(E79:Q79)</f>
        <v>2495443</v>
      </c>
      <c r="S79" s="147">
        <f>C79</f>
        <v>2495443</v>
      </c>
      <c r="T79" s="147"/>
      <c r="U79" s="143"/>
    </row>
    <row r="80" spans="1:21" s="144" customFormat="1">
      <c r="A80" s="304" t="s">
        <v>58</v>
      </c>
      <c r="B80" s="146">
        <f>SUM(C80:D80)</f>
        <v>407113</v>
      </c>
      <c r="C80" s="147">
        <v>407113</v>
      </c>
      <c r="D80" s="147"/>
      <c r="E80" s="147">
        <f>C80</f>
        <v>407113</v>
      </c>
      <c r="F80" s="147"/>
      <c r="G80" s="147"/>
      <c r="H80" s="147"/>
      <c r="I80" s="147"/>
      <c r="J80" s="147"/>
      <c r="K80" s="147"/>
      <c r="L80" s="147"/>
      <c r="M80" s="147"/>
      <c r="N80" s="147"/>
      <c r="O80" s="147"/>
      <c r="P80" s="147"/>
      <c r="Q80" s="147"/>
      <c r="R80" s="551">
        <f>SUM(E80:Q80)</f>
        <v>407113</v>
      </c>
      <c r="S80" s="147">
        <f>C80</f>
        <v>407113</v>
      </c>
      <c r="T80" s="147"/>
      <c r="U80" s="143"/>
    </row>
    <row r="81" spans="1:21" s="144" customFormat="1">
      <c r="A81" s="149" t="s">
        <v>1352</v>
      </c>
      <c r="B81" s="146">
        <f>SUM(C81:D81)</f>
        <v>2902556</v>
      </c>
      <c r="C81" s="544">
        <f>SUM(C79:C80)</f>
        <v>2902556</v>
      </c>
      <c r="D81" s="544">
        <f t="shared" ref="D81:T81" si="21">SUM(D79:D80)</f>
        <v>0</v>
      </c>
      <c r="E81" s="544">
        <f t="shared" si="21"/>
        <v>2902556</v>
      </c>
      <c r="F81" s="544">
        <f t="shared" si="21"/>
        <v>0</v>
      </c>
      <c r="G81" s="544">
        <f t="shared" si="21"/>
        <v>0</v>
      </c>
      <c r="H81" s="544">
        <f t="shared" si="21"/>
        <v>0</v>
      </c>
      <c r="I81" s="544">
        <f t="shared" si="21"/>
        <v>0</v>
      </c>
      <c r="J81" s="544">
        <f t="shared" si="21"/>
        <v>0</v>
      </c>
      <c r="K81" s="544">
        <f t="shared" si="21"/>
        <v>0</v>
      </c>
      <c r="L81" s="544">
        <f t="shared" si="21"/>
        <v>0</v>
      </c>
      <c r="M81" s="544">
        <f t="shared" si="21"/>
        <v>0</v>
      </c>
      <c r="N81" s="544">
        <f t="shared" si="21"/>
        <v>0</v>
      </c>
      <c r="O81" s="544">
        <f t="shared" si="21"/>
        <v>0</v>
      </c>
      <c r="P81" s="544">
        <f t="shared" si="21"/>
        <v>0</v>
      </c>
      <c r="Q81" s="544">
        <f t="shared" si="21"/>
        <v>0</v>
      </c>
      <c r="R81" s="544">
        <f t="shared" si="21"/>
        <v>2902556</v>
      </c>
      <c r="S81" s="544">
        <f t="shared" si="21"/>
        <v>2902556</v>
      </c>
      <c r="T81" s="544">
        <f t="shared" si="21"/>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2518</v>
      </c>
      <c r="B83" s="146">
        <f t="shared" ref="B83:B95" si="22">SUM(C83+D83)</f>
        <v>70925</v>
      </c>
      <c r="C83" s="147">
        <v>70925</v>
      </c>
      <c r="D83" s="147"/>
      <c r="E83" s="147">
        <f>C83</f>
        <v>70925</v>
      </c>
      <c r="F83" s="147"/>
      <c r="G83" s="147"/>
      <c r="H83" s="147"/>
      <c r="I83" s="147"/>
      <c r="J83" s="147"/>
      <c r="K83" s="147"/>
      <c r="L83" s="147"/>
      <c r="M83" s="147"/>
      <c r="N83" s="147"/>
      <c r="O83" s="147"/>
      <c r="P83" s="147"/>
      <c r="Q83" s="147"/>
      <c r="R83" s="551">
        <f t="shared" ref="R83:R95" si="23">SUM(E83:Q83)</f>
        <v>70925</v>
      </c>
      <c r="S83" s="148"/>
      <c r="T83" s="148"/>
      <c r="U83" s="143"/>
    </row>
    <row r="84" spans="1:21" s="144" customFormat="1">
      <c r="A84" s="145" t="s">
        <v>791</v>
      </c>
      <c r="B84" s="146">
        <f t="shared" si="22"/>
        <v>0</v>
      </c>
      <c r="C84" s="147"/>
      <c r="D84" s="147"/>
      <c r="E84" s="147"/>
      <c r="F84" s="147"/>
      <c r="G84" s="147"/>
      <c r="H84" s="147"/>
      <c r="I84" s="147"/>
      <c r="J84" s="147"/>
      <c r="K84" s="147"/>
      <c r="L84" s="147"/>
      <c r="M84" s="147"/>
      <c r="N84" s="147"/>
      <c r="O84" s="147"/>
      <c r="P84" s="147"/>
      <c r="Q84" s="147"/>
      <c r="R84" s="551">
        <f t="shared" si="23"/>
        <v>0</v>
      </c>
      <c r="S84" s="147"/>
      <c r="T84" s="147"/>
      <c r="U84" s="143"/>
    </row>
    <row r="85" spans="1:21" s="144" customFormat="1">
      <c r="A85" s="145" t="s">
        <v>792</v>
      </c>
      <c r="B85" s="146">
        <f t="shared" si="22"/>
        <v>5676580</v>
      </c>
      <c r="C85" s="147">
        <v>5676580</v>
      </c>
      <c r="D85" s="147"/>
      <c r="E85" s="147">
        <f t="shared" ref="E85:E86" si="24">C85</f>
        <v>5676580</v>
      </c>
      <c r="F85" s="147"/>
      <c r="G85" s="147"/>
      <c r="H85" s="147"/>
      <c r="I85" s="147"/>
      <c r="J85" s="147"/>
      <c r="K85" s="147"/>
      <c r="L85" s="147"/>
      <c r="M85" s="147"/>
      <c r="N85" s="147"/>
      <c r="O85" s="147"/>
      <c r="P85" s="147"/>
      <c r="Q85" s="147"/>
      <c r="R85" s="551">
        <f t="shared" si="23"/>
        <v>5676580</v>
      </c>
      <c r="S85" s="147">
        <f>C85</f>
        <v>5676580</v>
      </c>
      <c r="T85" s="147"/>
      <c r="U85" s="143"/>
    </row>
    <row r="86" spans="1:21" s="144" customFormat="1">
      <c r="A86" s="145" t="s">
        <v>793</v>
      </c>
      <c r="B86" s="146">
        <f t="shared" si="22"/>
        <v>538314</v>
      </c>
      <c r="C86" s="147">
        <v>538314</v>
      </c>
      <c r="D86" s="147"/>
      <c r="E86" s="147">
        <f t="shared" si="24"/>
        <v>538314</v>
      </c>
      <c r="F86" s="147"/>
      <c r="G86" s="147"/>
      <c r="H86" s="147"/>
      <c r="I86" s="147"/>
      <c r="J86" s="147"/>
      <c r="K86" s="147"/>
      <c r="L86" s="147"/>
      <c r="M86" s="147"/>
      <c r="N86" s="147"/>
      <c r="O86" s="147"/>
      <c r="P86" s="147"/>
      <c r="Q86" s="147"/>
      <c r="R86" s="551">
        <f t="shared" si="23"/>
        <v>538314</v>
      </c>
      <c r="S86" s="147">
        <f>C86</f>
        <v>538314</v>
      </c>
      <c r="T86" s="147"/>
      <c r="U86" s="143"/>
    </row>
    <row r="87" spans="1:21" s="144" customFormat="1">
      <c r="A87" s="145" t="s">
        <v>794</v>
      </c>
      <c r="B87" s="146">
        <f t="shared" si="22"/>
        <v>0</v>
      </c>
      <c r="C87" s="147"/>
      <c r="D87" s="147"/>
      <c r="E87" s="147"/>
      <c r="F87" s="147"/>
      <c r="G87" s="147"/>
      <c r="H87" s="147"/>
      <c r="I87" s="147"/>
      <c r="J87" s="147"/>
      <c r="K87" s="147"/>
      <c r="L87" s="147"/>
      <c r="M87" s="147"/>
      <c r="N87" s="147"/>
      <c r="O87" s="147"/>
      <c r="P87" s="147"/>
      <c r="Q87" s="147"/>
      <c r="R87" s="551">
        <f t="shared" si="23"/>
        <v>0</v>
      </c>
      <c r="S87" s="147"/>
      <c r="T87" s="147"/>
      <c r="U87" s="143"/>
    </row>
    <row r="88" spans="1:21" s="144" customFormat="1">
      <c r="A88" s="145" t="s">
        <v>795</v>
      </c>
      <c r="B88" s="146">
        <f t="shared" si="22"/>
        <v>152000</v>
      </c>
      <c r="C88" s="147">
        <v>152000</v>
      </c>
      <c r="D88" s="147"/>
      <c r="E88" s="147">
        <f t="shared" ref="E88:E93" si="25">C88</f>
        <v>152000</v>
      </c>
      <c r="F88" s="147"/>
      <c r="G88" s="147"/>
      <c r="H88" s="147"/>
      <c r="I88" s="147"/>
      <c r="J88" s="147"/>
      <c r="K88" s="147"/>
      <c r="L88" s="147"/>
      <c r="M88" s="147"/>
      <c r="N88" s="147"/>
      <c r="O88" s="147"/>
      <c r="P88" s="147"/>
      <c r="Q88" s="147"/>
      <c r="R88" s="551">
        <f t="shared" si="23"/>
        <v>152000</v>
      </c>
      <c r="S88" s="148"/>
      <c r="T88" s="148"/>
      <c r="U88" s="143"/>
    </row>
    <row r="89" spans="1:21" s="144" customFormat="1">
      <c r="A89" s="145" t="s">
        <v>796</v>
      </c>
      <c r="B89" s="146">
        <f t="shared" si="22"/>
        <v>244975</v>
      </c>
      <c r="C89" s="147">
        <v>244975</v>
      </c>
      <c r="D89" s="147"/>
      <c r="E89" s="147">
        <f t="shared" si="25"/>
        <v>244975</v>
      </c>
      <c r="F89" s="147"/>
      <c r="G89" s="147"/>
      <c r="H89" s="147"/>
      <c r="I89" s="147"/>
      <c r="J89" s="147"/>
      <c r="K89" s="147"/>
      <c r="L89" s="147"/>
      <c r="M89" s="147"/>
      <c r="N89" s="147"/>
      <c r="O89" s="147"/>
      <c r="P89" s="147"/>
      <c r="Q89" s="147"/>
      <c r="R89" s="551">
        <f t="shared" si="23"/>
        <v>244975</v>
      </c>
      <c r="S89" s="147">
        <f>C89</f>
        <v>244975</v>
      </c>
      <c r="T89" s="147"/>
      <c r="U89" s="143"/>
    </row>
    <row r="90" spans="1:21" s="144" customFormat="1">
      <c r="A90" s="145" t="s">
        <v>797</v>
      </c>
      <c r="B90" s="146">
        <f t="shared" si="22"/>
        <v>7500</v>
      </c>
      <c r="C90" s="147">
        <v>7500</v>
      </c>
      <c r="D90" s="147"/>
      <c r="E90" s="147">
        <f t="shared" si="25"/>
        <v>7500</v>
      </c>
      <c r="F90" s="147"/>
      <c r="G90" s="147"/>
      <c r="H90" s="147"/>
      <c r="I90" s="147"/>
      <c r="J90" s="147"/>
      <c r="K90" s="147"/>
      <c r="L90" s="147"/>
      <c r="M90" s="147"/>
      <c r="N90" s="147"/>
      <c r="O90" s="147"/>
      <c r="P90" s="147"/>
      <c r="Q90" s="147"/>
      <c r="R90" s="551">
        <f t="shared" si="23"/>
        <v>7500</v>
      </c>
      <c r="S90" s="147">
        <f>C90</f>
        <v>7500</v>
      </c>
      <c r="T90" s="147"/>
      <c r="U90" s="143"/>
    </row>
    <row r="91" spans="1:21" s="144" customFormat="1">
      <c r="A91" s="145" t="s">
        <v>373</v>
      </c>
      <c r="B91" s="146">
        <f t="shared" si="22"/>
        <v>25000</v>
      </c>
      <c r="C91" s="147">
        <v>25000</v>
      </c>
      <c r="D91" s="147"/>
      <c r="E91" s="147">
        <f t="shared" si="25"/>
        <v>25000</v>
      </c>
      <c r="F91" s="147"/>
      <c r="G91" s="147"/>
      <c r="H91" s="147"/>
      <c r="I91" s="147"/>
      <c r="J91" s="147"/>
      <c r="K91" s="147"/>
      <c r="L91" s="147"/>
      <c r="M91" s="147"/>
      <c r="N91" s="147"/>
      <c r="O91" s="147"/>
      <c r="P91" s="147"/>
      <c r="Q91" s="147"/>
      <c r="R91" s="551">
        <f t="shared" si="23"/>
        <v>25000</v>
      </c>
      <c r="S91" s="147">
        <f>C91</f>
        <v>25000</v>
      </c>
      <c r="T91" s="147"/>
      <c r="U91" s="143"/>
    </row>
    <row r="92" spans="1:21" s="144" customFormat="1">
      <c r="A92" s="304" t="s">
        <v>1354</v>
      </c>
      <c r="B92" s="146">
        <f t="shared" si="22"/>
        <v>5000</v>
      </c>
      <c r="C92" s="147">
        <v>5000</v>
      </c>
      <c r="D92" s="147"/>
      <c r="E92" s="147">
        <f t="shared" si="25"/>
        <v>5000</v>
      </c>
      <c r="F92" s="147"/>
      <c r="G92" s="147"/>
      <c r="H92" s="147"/>
      <c r="I92" s="147"/>
      <c r="J92" s="147"/>
      <c r="K92" s="147"/>
      <c r="L92" s="147"/>
      <c r="M92" s="147"/>
      <c r="N92" s="147"/>
      <c r="O92" s="147"/>
      <c r="P92" s="147"/>
      <c r="Q92" s="147"/>
      <c r="R92" s="551">
        <f t="shared" si="23"/>
        <v>5000</v>
      </c>
      <c r="S92" s="147">
        <f>C92</f>
        <v>5000</v>
      </c>
      <c r="T92" s="147"/>
      <c r="U92" s="143"/>
    </row>
    <row r="93" spans="1:21" s="144" customFormat="1">
      <c r="A93" s="1202" t="s">
        <v>2700</v>
      </c>
      <c r="B93" s="146">
        <f t="shared" si="22"/>
        <v>99490</v>
      </c>
      <c r="C93" s="147">
        <v>99490</v>
      </c>
      <c r="D93" s="147"/>
      <c r="E93" s="147">
        <f t="shared" si="25"/>
        <v>99490</v>
      </c>
      <c r="F93" s="147"/>
      <c r="G93" s="147"/>
      <c r="H93" s="147"/>
      <c r="I93" s="147"/>
      <c r="J93" s="147"/>
      <c r="K93" s="147"/>
      <c r="L93" s="147"/>
      <c r="M93" s="147"/>
      <c r="N93" s="147"/>
      <c r="O93" s="147"/>
      <c r="P93" s="147"/>
      <c r="Q93" s="147"/>
      <c r="R93" s="551">
        <f t="shared" si="23"/>
        <v>99490</v>
      </c>
      <c r="S93" s="147">
        <f>C93</f>
        <v>99490</v>
      </c>
      <c r="T93" s="147"/>
      <c r="U93" s="143"/>
    </row>
    <row r="94" spans="1:21" s="144" customFormat="1">
      <c r="A94" s="1202" t="s">
        <v>34</v>
      </c>
      <c r="B94" s="146">
        <f t="shared" si="22"/>
        <v>0</v>
      </c>
      <c r="C94" s="147"/>
      <c r="D94" s="147"/>
      <c r="E94" s="147"/>
      <c r="F94" s="147"/>
      <c r="G94" s="147"/>
      <c r="H94" s="147"/>
      <c r="I94" s="147"/>
      <c r="J94" s="147"/>
      <c r="K94" s="147"/>
      <c r="L94" s="147"/>
      <c r="M94" s="147"/>
      <c r="N94" s="147"/>
      <c r="O94" s="147"/>
      <c r="P94" s="147"/>
      <c r="Q94" s="147"/>
      <c r="R94" s="551">
        <f t="shared" si="23"/>
        <v>0</v>
      </c>
      <c r="S94" s="147"/>
      <c r="T94" s="147"/>
      <c r="U94" s="143"/>
    </row>
    <row r="95" spans="1:21" s="144" customFormat="1">
      <c r="A95" s="1202" t="s">
        <v>34</v>
      </c>
      <c r="B95" s="146">
        <f t="shared" si="22"/>
        <v>0</v>
      </c>
      <c r="C95" s="147"/>
      <c r="D95" s="147"/>
      <c r="E95" s="147"/>
      <c r="F95" s="147"/>
      <c r="G95" s="147"/>
      <c r="H95" s="147"/>
      <c r="I95" s="147"/>
      <c r="J95" s="147"/>
      <c r="K95" s="147"/>
      <c r="L95" s="147"/>
      <c r="M95" s="147"/>
      <c r="N95" s="147"/>
      <c r="O95" s="147"/>
      <c r="P95" s="147"/>
      <c r="Q95" s="147"/>
      <c r="R95" s="551">
        <f t="shared" si="23"/>
        <v>0</v>
      </c>
      <c r="S95" s="147"/>
      <c r="T95" s="147"/>
      <c r="U95" s="143"/>
    </row>
    <row r="96" spans="1:21" s="144" customFormat="1">
      <c r="A96" s="149" t="s">
        <v>798</v>
      </c>
      <c r="B96" s="146">
        <f>SUM(C96:D96)</f>
        <v>6819784</v>
      </c>
      <c r="C96" s="146">
        <f t="shared" ref="C96:R96" si="26">SUM(C83:C95)</f>
        <v>6819784</v>
      </c>
      <c r="D96" s="146">
        <f t="shared" si="26"/>
        <v>0</v>
      </c>
      <c r="E96" s="146">
        <f t="shared" si="26"/>
        <v>6819784</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6819784</v>
      </c>
      <c r="S96" s="150">
        <f>SUM(S84:S87,S89:S95)</f>
        <v>6596859</v>
      </c>
      <c r="T96" s="146">
        <f>SUM(T84:T87,T89:T95)</f>
        <v>0</v>
      </c>
      <c r="U96" s="143"/>
    </row>
    <row r="97" spans="1:21" s="144" customFormat="1">
      <c r="A97" s="149" t="s">
        <v>799</v>
      </c>
      <c r="B97" s="146">
        <f>SUM(C97:D97)</f>
        <v>41838274</v>
      </c>
      <c r="C97" s="146">
        <f t="shared" ref="C97:R97" si="27">SUM(C63+C70+C77+C81+C96)</f>
        <v>41838274</v>
      </c>
      <c r="D97" s="146">
        <f t="shared" si="27"/>
        <v>0</v>
      </c>
      <c r="E97" s="146">
        <f t="shared" si="27"/>
        <v>27785738</v>
      </c>
      <c r="F97" s="146">
        <f t="shared" si="27"/>
        <v>12960000</v>
      </c>
      <c r="G97" s="146">
        <f t="shared" si="27"/>
        <v>1092536</v>
      </c>
      <c r="H97" s="146">
        <f t="shared" si="27"/>
        <v>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41838274</v>
      </c>
      <c r="S97" s="146">
        <f>SUM(S63+S70+S81+S96)</f>
        <v>38083745</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5712561</v>
      </c>
      <c r="C99" s="1016">
        <v>5712561</v>
      </c>
      <c r="D99" s="1016"/>
      <c r="E99" s="1016">
        <f>C99-H99</f>
        <v>2221467</v>
      </c>
      <c r="F99" s="147"/>
      <c r="G99" s="147"/>
      <c r="H99" s="147">
        <f>H108</f>
        <v>3491094</v>
      </c>
      <c r="I99" s="147"/>
      <c r="J99" s="147"/>
      <c r="K99" s="147"/>
      <c r="L99" s="147"/>
      <c r="M99" s="147"/>
      <c r="N99" s="147"/>
      <c r="O99" s="147"/>
      <c r="P99" s="147"/>
      <c r="Q99" s="147"/>
      <c r="R99" s="551">
        <f>SUM(E99:Q99)</f>
        <v>5712561</v>
      </c>
      <c r="S99" s="147">
        <f>C99</f>
        <v>5712561</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5712561</v>
      </c>
      <c r="C104" s="146">
        <f>SUM(C99:C103)</f>
        <v>5712561</v>
      </c>
      <c r="D104" s="146">
        <f t="shared" ref="D104:T104" si="28">SUM(D99:D103)</f>
        <v>0</v>
      </c>
      <c r="E104" s="146">
        <f t="shared" si="28"/>
        <v>2221467</v>
      </c>
      <c r="F104" s="146">
        <f t="shared" si="28"/>
        <v>0</v>
      </c>
      <c r="G104" s="146">
        <f t="shared" si="28"/>
        <v>0</v>
      </c>
      <c r="H104" s="146">
        <f t="shared" si="28"/>
        <v>3491094</v>
      </c>
      <c r="I104" s="146">
        <f t="shared" si="28"/>
        <v>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5712561</v>
      </c>
      <c r="S104" s="150">
        <f t="shared" si="28"/>
        <v>5712561</v>
      </c>
      <c r="T104" s="150">
        <f t="shared" si="28"/>
        <v>0</v>
      </c>
      <c r="U104" s="143"/>
    </row>
    <row r="105" spans="1:21" s="144" customFormat="1">
      <c r="A105" s="149" t="s">
        <v>804</v>
      </c>
      <c r="B105" s="150">
        <f>SUM(C105:D105)</f>
        <v>47550835</v>
      </c>
      <c r="C105" s="150">
        <f t="shared" ref="C105:R105" si="29">SUM(C97+C104)</f>
        <v>47550835</v>
      </c>
      <c r="D105" s="150">
        <f t="shared" si="29"/>
        <v>0</v>
      </c>
      <c r="E105" s="150">
        <f t="shared" si="29"/>
        <v>30007205</v>
      </c>
      <c r="F105" s="150">
        <f t="shared" si="29"/>
        <v>12960000</v>
      </c>
      <c r="G105" s="150">
        <f t="shared" si="29"/>
        <v>1092536</v>
      </c>
      <c r="H105" s="150">
        <f t="shared" si="29"/>
        <v>3491094</v>
      </c>
      <c r="I105" s="150">
        <f t="shared" si="29"/>
        <v>0</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47550835</v>
      </c>
      <c r="S105" s="150">
        <f>S97+S104</f>
        <v>43796306</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43796306</v>
      </c>
      <c r="T107" s="150">
        <f>T105+T106</f>
        <v>0</v>
      </c>
    </row>
    <row r="108" spans="1:21" s="201" customFormat="1">
      <c r="A108" s="162" t="s">
        <v>908</v>
      </c>
      <c r="B108" s="157"/>
      <c r="C108" s="157"/>
      <c r="D108" s="157"/>
      <c r="E108" s="323">
        <f>Application!AO636</f>
        <v>30007205</v>
      </c>
      <c r="F108" s="323">
        <f>Application!AO623</f>
        <v>12960000</v>
      </c>
      <c r="G108" s="323">
        <f>Application!AO624</f>
        <v>1092536</v>
      </c>
      <c r="H108" s="323">
        <f>Application!AO625</f>
        <v>3491094</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56" t="s">
        <v>1047</v>
      </c>
      <c r="E122" s="1856"/>
      <c r="F122" s="1856"/>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8" t="s">
        <v>1371</v>
      </c>
      <c r="E123" s="1859"/>
      <c r="F123" s="1859"/>
      <c r="G123" s="1859"/>
      <c r="H123" s="1859"/>
      <c r="I123" s="1859"/>
      <c r="J123" s="1859"/>
      <c r="K123" s="1859"/>
      <c r="L123" s="1859"/>
      <c r="M123" s="1859"/>
      <c r="N123" s="1859"/>
      <c r="O123" s="1859"/>
      <c r="P123" s="1859"/>
      <c r="Q123" s="1859"/>
      <c r="R123" s="1859"/>
      <c r="S123" s="1859"/>
      <c r="T123" s="353"/>
      <c r="U123" s="355"/>
    </row>
    <row r="124" spans="1:21" ht="12.75">
      <c r="A124" s="117" t="s">
        <v>1049</v>
      </c>
      <c r="B124" s="362"/>
      <c r="C124" s="117"/>
      <c r="D124" s="1859"/>
      <c r="E124" s="1859"/>
      <c r="F124" s="1859"/>
      <c r="G124" s="1859"/>
      <c r="H124" s="1859"/>
      <c r="I124" s="1859"/>
      <c r="J124" s="1859"/>
      <c r="K124" s="1859"/>
      <c r="L124" s="1859"/>
      <c r="M124" s="1859"/>
      <c r="N124" s="1859"/>
      <c r="O124" s="1859"/>
      <c r="P124" s="1859"/>
      <c r="Q124" s="1859"/>
      <c r="R124" s="1859"/>
      <c r="S124" s="1859"/>
      <c r="T124" s="353"/>
      <c r="U124" s="355"/>
    </row>
    <row r="125" spans="1:21" ht="12.75">
      <c r="A125" s="117" t="s">
        <v>1050</v>
      </c>
      <c r="B125" s="362"/>
      <c r="C125" s="117"/>
      <c r="D125" s="1859"/>
      <c r="E125" s="1859"/>
      <c r="F125" s="1859"/>
      <c r="G125" s="1859"/>
      <c r="H125" s="1859"/>
      <c r="I125" s="1859"/>
      <c r="J125" s="1859"/>
      <c r="K125" s="1859"/>
      <c r="L125" s="1859"/>
      <c r="M125" s="1859"/>
      <c r="N125" s="1859"/>
      <c r="O125" s="1859"/>
      <c r="P125" s="1859"/>
      <c r="Q125" s="1859"/>
      <c r="R125" s="1859"/>
      <c r="S125" s="1859"/>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3"/>
      <c r="E128" s="1853"/>
      <c r="F128" s="1853"/>
      <c r="G128" s="1853"/>
      <c r="H128" s="1853"/>
      <c r="I128" s="117"/>
      <c r="J128" s="1854"/>
      <c r="K128" s="1854"/>
      <c r="L128" s="117"/>
      <c r="M128" s="117"/>
      <c r="N128" s="117"/>
      <c r="O128" s="117"/>
      <c r="P128" s="117"/>
      <c r="Q128" s="117"/>
      <c r="R128" s="117"/>
      <c r="S128" s="117"/>
      <c r="T128" s="353"/>
      <c r="U128" s="355"/>
    </row>
    <row r="129" spans="1:21" ht="12.75">
      <c r="A129" s="117" t="s">
        <v>301</v>
      </c>
      <c r="B129" s="362"/>
      <c r="C129" s="117"/>
      <c r="D129" s="1855" t="s">
        <v>1054</v>
      </c>
      <c r="E129" s="1855"/>
      <c r="F129" s="1855"/>
      <c r="G129" s="1855"/>
      <c r="H129" s="1855"/>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20"/>
      <c r="E131" s="1820"/>
      <c r="F131" s="1820"/>
      <c r="G131" s="1820"/>
      <c r="H131" s="1820"/>
      <c r="I131" s="117"/>
      <c r="J131" s="1820"/>
      <c r="K131" s="1820"/>
      <c r="L131" s="1820"/>
      <c r="M131" s="1820"/>
      <c r="N131" s="117"/>
      <c r="O131" s="117"/>
      <c r="P131" s="117"/>
      <c r="Q131" s="117"/>
      <c r="R131" s="117"/>
      <c r="S131" s="117"/>
      <c r="T131" s="353"/>
      <c r="U131" s="355"/>
    </row>
    <row r="132" spans="1:21" ht="12" customHeight="1">
      <c r="A132" s="365"/>
      <c r="B132" s="117"/>
      <c r="C132" s="117"/>
      <c r="D132" s="1860" t="s">
        <v>1057</v>
      </c>
      <c r="E132" s="1860"/>
      <c r="F132" s="1860"/>
      <c r="G132" s="1860"/>
      <c r="H132" s="1860"/>
      <c r="I132" s="117"/>
      <c r="J132" s="1860" t="s">
        <v>1058</v>
      </c>
      <c r="K132" s="1860"/>
      <c r="L132" s="1860"/>
      <c r="M132" s="186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1"/>
      <c r="B138" s="1853"/>
      <c r="C138" s="1853"/>
      <c r="D138" s="357"/>
      <c r="E138" s="1854"/>
      <c r="F138" s="1854"/>
      <c r="G138" s="117"/>
      <c r="H138" s="117"/>
      <c r="I138" s="117"/>
      <c r="J138" s="117"/>
      <c r="K138" s="117"/>
      <c r="L138" s="117"/>
      <c r="M138" s="117"/>
      <c r="N138" s="117"/>
      <c r="O138" s="117"/>
      <c r="P138" s="117"/>
      <c r="Q138" s="117"/>
      <c r="R138" s="117"/>
      <c r="S138" s="117"/>
      <c r="T138" s="359"/>
      <c r="U138" s="360"/>
    </row>
    <row r="139" spans="1:21" ht="12.75">
      <c r="A139" s="1857" t="s">
        <v>1061</v>
      </c>
      <c r="B139" s="1857"/>
      <c r="C139" s="1857"/>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5" zoomScaleNormal="100" zoomScaleSheetLayoutView="100" workbookViewId="0">
      <selection activeCell="C85" sqref="C85"/>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4" t="s">
        <v>1374</v>
      </c>
      <c r="B1" s="1865"/>
      <c r="C1" s="1865"/>
      <c r="D1" s="1865"/>
      <c r="E1" s="1865"/>
      <c r="F1" s="1865"/>
      <c r="G1" s="1865"/>
      <c r="H1" s="1865"/>
      <c r="I1" s="1865"/>
      <c r="J1" s="1866"/>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v>
      </c>
      <c r="C4" s="394">
        <f>B4</f>
        <v>1</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1</v>
      </c>
      <c r="C8" s="393">
        <f>SUM(C4:C7)</f>
        <v>1</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103526</v>
      </c>
      <c r="C10" s="394">
        <f>B10</f>
        <v>103526</v>
      </c>
      <c r="D10" s="394"/>
      <c r="E10" s="393">
        <f>'Sources and Uses Budget'!S10</f>
        <v>103526</v>
      </c>
      <c r="F10" s="394">
        <f>E10</f>
        <v>103526</v>
      </c>
      <c r="G10" s="394"/>
      <c r="H10" s="393">
        <f>'Sources and Uses Budget'!T10</f>
        <v>0</v>
      </c>
      <c r="I10" s="394"/>
      <c r="J10" s="394"/>
      <c r="K10" s="391"/>
    </row>
    <row r="11" spans="1:11" s="392" customFormat="1">
      <c r="A11" s="397" t="s">
        <v>605</v>
      </c>
      <c r="B11" s="393">
        <f>'Sources and Uses Budget'!C11</f>
        <v>103526</v>
      </c>
      <c r="C11" s="393">
        <f>SUM(C9:C10)</f>
        <v>103526</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103527</v>
      </c>
      <c r="C12" s="393">
        <f>SUM(C8+C11)</f>
        <v>103527</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3450858</v>
      </c>
      <c r="C29" s="394">
        <f t="shared" ref="C29:C35" si="0">B29</f>
        <v>3450858</v>
      </c>
      <c r="D29" s="394"/>
      <c r="E29" s="393">
        <f>'Sources and Uses Budget'!S29</f>
        <v>3450858</v>
      </c>
      <c r="F29" s="394">
        <f t="shared" ref="F29:F33" si="1">E29</f>
        <v>3450858</v>
      </c>
      <c r="G29" s="394"/>
      <c r="H29" s="393">
        <f>'Sources and Uses Budget'!T29</f>
        <v>0</v>
      </c>
      <c r="I29" s="394"/>
      <c r="J29" s="394"/>
      <c r="K29" s="391"/>
    </row>
    <row r="30" spans="1:11" s="392" customFormat="1">
      <c r="A30" s="145" t="s">
        <v>608</v>
      </c>
      <c r="B30" s="393">
        <f>'Sources and Uses Budget'!C30</f>
        <v>18253960</v>
      </c>
      <c r="C30" s="394">
        <f t="shared" si="0"/>
        <v>18253960</v>
      </c>
      <c r="D30" s="394"/>
      <c r="E30" s="393">
        <f>'Sources and Uses Budget'!S30</f>
        <v>18253960</v>
      </c>
      <c r="F30" s="394">
        <f t="shared" si="1"/>
        <v>18253960</v>
      </c>
      <c r="G30" s="394"/>
      <c r="H30" s="393">
        <f>'Sources and Uses Budget'!T30</f>
        <v>0</v>
      </c>
      <c r="I30" s="394"/>
      <c r="J30" s="394"/>
      <c r="K30" s="391"/>
    </row>
    <row r="31" spans="1:11" s="392" customFormat="1">
      <c r="A31" s="145" t="s">
        <v>609</v>
      </c>
      <c r="B31" s="393">
        <f>'Sources and Uses Budget'!C31</f>
        <v>975000</v>
      </c>
      <c r="C31" s="394">
        <f t="shared" si="0"/>
        <v>975000</v>
      </c>
      <c r="D31" s="394"/>
      <c r="E31" s="393">
        <f>'Sources and Uses Budget'!S31</f>
        <v>975000</v>
      </c>
      <c r="F31" s="394">
        <f t="shared" si="1"/>
        <v>975000</v>
      </c>
      <c r="G31" s="394"/>
      <c r="H31" s="393">
        <f>'Sources and Uses Budget'!T31</f>
        <v>0</v>
      </c>
      <c r="I31" s="394"/>
      <c r="J31" s="394"/>
      <c r="K31" s="391"/>
    </row>
    <row r="32" spans="1:11" s="392" customFormat="1">
      <c r="A32" s="145" t="s">
        <v>138</v>
      </c>
      <c r="B32" s="393">
        <f>'Sources and Uses Budget'!C32</f>
        <v>1085539</v>
      </c>
      <c r="C32" s="394">
        <f t="shared" si="0"/>
        <v>1085539</v>
      </c>
      <c r="D32" s="394"/>
      <c r="E32" s="393">
        <f>'Sources and Uses Budget'!S32</f>
        <v>1085539</v>
      </c>
      <c r="F32" s="394">
        <f t="shared" si="1"/>
        <v>1085539</v>
      </c>
      <c r="G32" s="394"/>
      <c r="H32" s="393">
        <f>'Sources and Uses Budget'!T32</f>
        <v>0</v>
      </c>
      <c r="I32" s="394"/>
      <c r="J32" s="394"/>
      <c r="K32" s="391"/>
    </row>
    <row r="33" spans="1:11" s="392" customFormat="1">
      <c r="A33" s="145" t="s">
        <v>139</v>
      </c>
      <c r="B33" s="393">
        <f>'Sources and Uses Budget'!C33</f>
        <v>1085539</v>
      </c>
      <c r="C33" s="394">
        <f t="shared" si="0"/>
        <v>1085539</v>
      </c>
      <c r="D33" s="394"/>
      <c r="E33" s="393">
        <f>'Sources and Uses Budget'!S33</f>
        <v>1085539</v>
      </c>
      <c r="F33" s="394">
        <f t="shared" si="1"/>
        <v>1085539</v>
      </c>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658797</v>
      </c>
      <c r="C35" s="394">
        <f t="shared" si="0"/>
        <v>658797</v>
      </c>
      <c r="D35" s="394"/>
      <c r="E35" s="393">
        <f>'Sources and Uses Budget'!S35</f>
        <v>658797</v>
      </c>
      <c r="F35" s="394">
        <f>E35</f>
        <v>658797</v>
      </c>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25509693</v>
      </c>
      <c r="C38" s="393">
        <f>SUM(C29:C37)</f>
        <v>25509693</v>
      </c>
      <c r="D38" s="393">
        <f>SUM(D29:D37)</f>
        <v>0</v>
      </c>
      <c r="E38" s="393">
        <f>'Sources and Uses Budget'!S38</f>
        <v>25509693</v>
      </c>
      <c r="F38" s="399">
        <f>SUM(F29:F37)</f>
        <v>25509693</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910402</v>
      </c>
      <c r="C40" s="394">
        <f t="shared" ref="C40" si="2">B40</f>
        <v>910402</v>
      </c>
      <c r="D40" s="394"/>
      <c r="E40" s="393">
        <f>'Sources and Uses Budget'!S40</f>
        <v>910402</v>
      </c>
      <c r="F40" s="394">
        <f>E40</f>
        <v>910402</v>
      </c>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910402</v>
      </c>
      <c r="C42" s="393">
        <f>SUM(C39:C41)</f>
        <v>910402</v>
      </c>
      <c r="D42" s="393">
        <f>SUM(D39:D41)</f>
        <v>0</v>
      </c>
      <c r="E42" s="393">
        <f>'Sources and Uses Budget'!S42</f>
        <v>910402</v>
      </c>
      <c r="F42" s="399">
        <f>SUM(F40:F41)</f>
        <v>910402</v>
      </c>
      <c r="G42" s="399">
        <f>SUM(G40:G41)</f>
        <v>0</v>
      </c>
      <c r="H42" s="393">
        <f>'Sources and Uses Budget'!T42</f>
        <v>0</v>
      </c>
      <c r="I42" s="399">
        <f>SUM(I40:I41)</f>
        <v>0</v>
      </c>
      <c r="J42" s="399">
        <f>SUM(J40:J41)</f>
        <v>0</v>
      </c>
      <c r="K42" s="391"/>
    </row>
    <row r="43" spans="1:11" s="392" customFormat="1">
      <c r="A43" s="397" t="s">
        <v>149</v>
      </c>
      <c r="B43" s="393">
        <f>'Sources and Uses Budget'!C43</f>
        <v>186953</v>
      </c>
      <c r="C43" s="394">
        <f>B43</f>
        <v>186953</v>
      </c>
      <c r="D43" s="394"/>
      <c r="E43" s="393">
        <f>'Sources and Uses Budget'!S43</f>
        <v>186953</v>
      </c>
      <c r="F43" s="394">
        <f>E43</f>
        <v>186953</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1617446</v>
      </c>
      <c r="C45" s="394">
        <f>B45</f>
        <v>1617446</v>
      </c>
      <c r="D45" s="394"/>
      <c r="E45" s="393">
        <f>'Sources and Uses Budget'!S45</f>
        <v>1617446</v>
      </c>
      <c r="F45" s="394">
        <f t="shared" ref="F45:F46" si="3">E45</f>
        <v>1617446</v>
      </c>
      <c r="G45" s="394"/>
      <c r="H45" s="393">
        <f>'Sources and Uses Budget'!T45</f>
        <v>0</v>
      </c>
      <c r="I45" s="394"/>
      <c r="J45" s="394"/>
      <c r="K45" s="391"/>
    </row>
    <row r="46" spans="1:11" s="392" customFormat="1">
      <c r="A46" s="396" t="s">
        <v>152</v>
      </c>
      <c r="B46" s="393">
        <f>'Sources and Uses Budget'!C46</f>
        <v>45273</v>
      </c>
      <c r="C46" s="394">
        <f>B46</f>
        <v>45273</v>
      </c>
      <c r="D46" s="394"/>
      <c r="E46" s="393">
        <f>'Sources and Uses Budget'!S46</f>
        <v>45273</v>
      </c>
      <c r="F46" s="394">
        <f t="shared" si="3"/>
        <v>45273</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110000</v>
      </c>
      <c r="C50" s="394">
        <f>B50</f>
        <v>110000</v>
      </c>
      <c r="D50" s="394"/>
      <c r="E50" s="393">
        <f>'Sources and Uses Budget'!S50</f>
        <v>110000</v>
      </c>
      <c r="F50" s="394">
        <f t="shared" ref="F50:F51" si="4">E50</f>
        <v>110000</v>
      </c>
      <c r="G50" s="394"/>
      <c r="H50" s="393">
        <f>'Sources and Uses Budget'!T50</f>
        <v>0</v>
      </c>
      <c r="I50" s="394"/>
      <c r="J50" s="394"/>
      <c r="K50" s="391"/>
    </row>
    <row r="51" spans="1:11" s="392" customFormat="1">
      <c r="A51" s="396" t="s">
        <v>155</v>
      </c>
      <c r="B51" s="393">
        <f>'Sources and Uses Budget'!C51</f>
        <v>74037</v>
      </c>
      <c r="C51" s="394">
        <f>B51</f>
        <v>74037</v>
      </c>
      <c r="D51" s="394"/>
      <c r="E51" s="393">
        <f>'Sources and Uses Budget'!S51</f>
        <v>74037</v>
      </c>
      <c r="F51" s="394">
        <f t="shared" si="4"/>
        <v>74037</v>
      </c>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(Construction Inspection Fees)</v>
      </c>
      <c r="B53" s="393">
        <f>'Sources and Uses Budget'!C53</f>
        <v>27000</v>
      </c>
      <c r="C53" s="394">
        <f>B53</f>
        <v>27000</v>
      </c>
      <c r="D53" s="394"/>
      <c r="E53" s="393">
        <f>'Sources and Uses Budget'!S53</f>
        <v>27000</v>
      </c>
      <c r="F53" s="394">
        <f>E53</f>
        <v>27000</v>
      </c>
      <c r="G53" s="394"/>
      <c r="H53" s="393">
        <f>'Sources and Uses Budget'!T53</f>
        <v>0</v>
      </c>
      <c r="I53" s="394"/>
      <c r="J53" s="394"/>
      <c r="K53" s="391"/>
    </row>
    <row r="54" spans="1:11" s="401" customFormat="1">
      <c r="A54" s="397" t="s">
        <v>158</v>
      </c>
      <c r="B54" s="393">
        <f>'Sources and Uses Budget'!C54</f>
        <v>1873756</v>
      </c>
      <c r="C54" s="399">
        <f>SUM(C45:C53)</f>
        <v>1873756</v>
      </c>
      <c r="D54" s="399">
        <f>SUM(D45:D53)</f>
        <v>0</v>
      </c>
      <c r="E54" s="393">
        <f>'Sources and Uses Budget'!S54</f>
        <v>1873756</v>
      </c>
      <c r="F54" s="399">
        <f>SUM(F45:F53)</f>
        <v>1873756</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290465</v>
      </c>
      <c r="C56" s="394">
        <f>B56</f>
        <v>290465</v>
      </c>
      <c r="D56" s="394"/>
      <c r="E56" s="395"/>
      <c r="F56" s="395"/>
      <c r="G56" s="395"/>
      <c r="H56" s="395"/>
      <c r="I56" s="395"/>
      <c r="J56" s="395"/>
      <c r="K56" s="391"/>
    </row>
    <row r="57" spans="1:11" s="392" customFormat="1" ht="12" customHeight="1">
      <c r="A57" s="396" t="s">
        <v>153</v>
      </c>
      <c r="B57" s="393">
        <f>'Sources and Uses Budget'!C57</f>
        <v>199853</v>
      </c>
      <c r="C57" s="394">
        <f>B57</f>
        <v>199853</v>
      </c>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(Interest Prior to Conversion)</v>
      </c>
      <c r="B61" s="393">
        <f>'Sources and Uses Budget'!C61</f>
        <v>2569711</v>
      </c>
      <c r="C61" s="394">
        <f>B61</f>
        <v>2569711</v>
      </c>
      <c r="D61" s="394"/>
      <c r="E61" s="395"/>
      <c r="F61" s="395"/>
      <c r="G61" s="395"/>
      <c r="H61" s="395"/>
      <c r="I61" s="395"/>
      <c r="J61" s="395"/>
      <c r="K61" s="391"/>
    </row>
    <row r="62" spans="1:11" s="392" customFormat="1" ht="13.7" customHeight="1">
      <c r="A62" s="397" t="s">
        <v>302</v>
      </c>
      <c r="B62" s="393">
        <f>'Sources and Uses Budget'!C62</f>
        <v>3060029</v>
      </c>
      <c r="C62" s="393">
        <f>SUM(C56:C61)</f>
        <v>3060029</v>
      </c>
      <c r="D62" s="393">
        <f>SUM(D56:D61)</f>
        <v>0</v>
      </c>
      <c r="E62" s="395"/>
      <c r="F62" s="395"/>
      <c r="G62" s="395"/>
      <c r="H62" s="395"/>
      <c r="I62" s="395"/>
      <c r="J62" s="395"/>
      <c r="K62" s="391"/>
    </row>
    <row r="63" spans="1:11" s="392" customFormat="1">
      <c r="A63" s="402" t="s">
        <v>303</v>
      </c>
      <c r="B63" s="393">
        <f>'Sources and Uses Budget'!C63</f>
        <v>31644360</v>
      </c>
      <c r="C63" s="393">
        <f>SUM(C8+C11+C13+C14+C15+C26+C27+C38+C42+C43+C54+C62)</f>
        <v>31644360</v>
      </c>
      <c r="D63" s="393">
        <f>SUM(D8+D11+D13+D14+D15+D26+D27+D38+D42+D43+D54+D62)</f>
        <v>0</v>
      </c>
      <c r="E63" s="393">
        <f>'Sources and Uses Budget'!S63</f>
        <v>28584330</v>
      </c>
      <c r="F63" s="393">
        <f>SUM(F10+F13+F14+F15+F26+F27+F38+F42+F43+F54)</f>
        <v>28584330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171</v>
      </c>
      <c r="B65" s="393">
        <f>'Sources and Uses Budget'!C65</f>
        <v>85000</v>
      </c>
      <c r="C65" s="394">
        <f>B65</f>
        <v>85000</v>
      </c>
      <c r="D65" s="394"/>
      <c r="E65" s="393">
        <f>'Sources and Uses Budget'!S65</f>
        <v>0</v>
      </c>
      <c r="F65" s="394"/>
      <c r="G65" s="394"/>
      <c r="H65" s="393">
        <f>'Sources and Uses Budget'!T65</f>
        <v>0</v>
      </c>
      <c r="I65" s="394"/>
      <c r="J65" s="394"/>
      <c r="K65" s="391"/>
    </row>
    <row r="66" spans="1:11" s="392" customFormat="1" ht="24">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85000</v>
      </c>
      <c r="C70" s="393">
        <f>SUM(C64:C69)</f>
        <v>85000</v>
      </c>
      <c r="D70" s="393">
        <f>SUM(D64:D69)</f>
        <v>0</v>
      </c>
      <c r="E70" s="393">
        <f>'Sources and Uses Budget'!S70</f>
        <v>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386574</v>
      </c>
      <c r="C75" s="394">
        <f>B75</f>
        <v>386574</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386574</v>
      </c>
      <c r="C77" s="393">
        <f>SUM(C72:C76)</f>
        <v>386574</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2495443</v>
      </c>
      <c r="C79" s="394">
        <f t="shared" ref="C79:C80" si="5">B79</f>
        <v>2495443</v>
      </c>
      <c r="D79" s="394"/>
      <c r="E79" s="393">
        <f>'Sources and Uses Budget'!S79</f>
        <v>2495443</v>
      </c>
      <c r="F79" s="394">
        <f t="shared" ref="F79:F80" si="6">E79</f>
        <v>2495443</v>
      </c>
      <c r="G79" s="394"/>
      <c r="H79" s="393">
        <f>'Sources and Uses Budget'!T79</f>
        <v>0</v>
      </c>
      <c r="I79" s="394"/>
      <c r="J79" s="394"/>
      <c r="K79" s="391"/>
    </row>
    <row r="80" spans="1:11" s="392" customFormat="1">
      <c r="A80" s="396" t="s">
        <v>58</v>
      </c>
      <c r="B80" s="393">
        <f>'Sources and Uses Budget'!C80</f>
        <v>407113</v>
      </c>
      <c r="C80" s="394">
        <f t="shared" si="5"/>
        <v>407113</v>
      </c>
      <c r="D80" s="394"/>
      <c r="E80" s="393">
        <f>'Sources and Uses Budget'!S80</f>
        <v>407113</v>
      </c>
      <c r="F80" s="394">
        <f t="shared" si="6"/>
        <v>407113</v>
      </c>
      <c r="G80" s="394"/>
      <c r="H80" s="393">
        <f>'Sources and Uses Budget'!T80</f>
        <v>0</v>
      </c>
      <c r="I80" s="394"/>
      <c r="J80" s="394"/>
      <c r="K80" s="391"/>
    </row>
    <row r="81" spans="1:11" s="392" customFormat="1">
      <c r="A81" s="397" t="s">
        <v>1352</v>
      </c>
      <c r="B81" s="393">
        <f>'Sources and Uses Budget'!C81</f>
        <v>2902556</v>
      </c>
      <c r="C81" s="393">
        <f>SUM(C79:C80)</f>
        <v>2902556</v>
      </c>
      <c r="D81" s="393">
        <f>SUM(D79:D80)</f>
        <v>0</v>
      </c>
      <c r="E81" s="393">
        <f>'Sources and Uses Budget'!S81</f>
        <v>2902556</v>
      </c>
      <c r="F81" s="393">
        <f>SUM(F79:F80)</f>
        <v>2902556</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2518</v>
      </c>
      <c r="B83" s="393">
        <f>'Sources and Uses Budget'!C83</f>
        <v>70925</v>
      </c>
      <c r="C83" s="394">
        <f>B83</f>
        <v>70925</v>
      </c>
      <c r="D83" s="394"/>
      <c r="E83" s="395"/>
      <c r="F83" s="395"/>
      <c r="G83" s="395"/>
      <c r="H83" s="395"/>
      <c r="I83" s="395"/>
      <c r="J83" s="395"/>
      <c r="K83" s="391"/>
    </row>
    <row r="84" spans="1:11" s="392" customFormat="1">
      <c r="A84" s="145" t="s">
        <v>791</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792</v>
      </c>
      <c r="B85" s="393">
        <f>'Sources and Uses Budget'!C85</f>
        <v>5676580</v>
      </c>
      <c r="C85" s="394">
        <f t="shared" ref="C85:C86" si="7">B85</f>
        <v>5676580</v>
      </c>
      <c r="D85" s="394"/>
      <c r="E85" s="393">
        <f>'Sources and Uses Budget'!S85</f>
        <v>5676580</v>
      </c>
      <c r="F85" s="394">
        <f t="shared" ref="F85:F86" si="8">E85</f>
        <v>5676580</v>
      </c>
      <c r="G85" s="394"/>
      <c r="H85" s="393">
        <f>'Sources and Uses Budget'!T85</f>
        <v>0</v>
      </c>
      <c r="I85" s="394"/>
      <c r="J85" s="394"/>
      <c r="K85" s="391"/>
    </row>
    <row r="86" spans="1:11" s="392" customFormat="1">
      <c r="A86" s="145" t="s">
        <v>793</v>
      </c>
      <c r="B86" s="393">
        <f>'Sources and Uses Budget'!C86</f>
        <v>538314</v>
      </c>
      <c r="C86" s="394">
        <f t="shared" si="7"/>
        <v>538314</v>
      </c>
      <c r="D86" s="394"/>
      <c r="E86" s="393">
        <f>'Sources and Uses Budget'!S86</f>
        <v>538314</v>
      </c>
      <c r="F86" s="394">
        <f t="shared" si="8"/>
        <v>538314</v>
      </c>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152000</v>
      </c>
      <c r="C88" s="394">
        <f t="shared" ref="C88:C93" si="9">B88</f>
        <v>152000</v>
      </c>
      <c r="D88" s="394"/>
      <c r="E88" s="395"/>
      <c r="F88" s="395"/>
      <c r="G88" s="395"/>
      <c r="H88" s="395"/>
      <c r="I88" s="395"/>
      <c r="J88" s="395"/>
      <c r="K88" s="391"/>
    </row>
    <row r="89" spans="1:11" s="392" customFormat="1">
      <c r="A89" s="145" t="s">
        <v>796</v>
      </c>
      <c r="B89" s="393">
        <f>'Sources and Uses Budget'!C89</f>
        <v>244975</v>
      </c>
      <c r="C89" s="394">
        <f t="shared" si="9"/>
        <v>244975</v>
      </c>
      <c r="D89" s="394"/>
      <c r="E89" s="393">
        <f>'Sources and Uses Budget'!S89</f>
        <v>244975</v>
      </c>
      <c r="F89" s="394">
        <f t="shared" ref="F89:F93" si="10">E89</f>
        <v>244975</v>
      </c>
      <c r="G89" s="394"/>
      <c r="H89" s="393">
        <f>'Sources and Uses Budget'!T89</f>
        <v>0</v>
      </c>
      <c r="I89" s="394"/>
      <c r="J89" s="394"/>
      <c r="K89" s="391"/>
    </row>
    <row r="90" spans="1:11" s="392" customFormat="1">
      <c r="A90" s="145" t="s">
        <v>797</v>
      </c>
      <c r="B90" s="393">
        <f>'Sources and Uses Budget'!C90</f>
        <v>7500</v>
      </c>
      <c r="C90" s="394">
        <f t="shared" si="9"/>
        <v>7500</v>
      </c>
      <c r="D90" s="394"/>
      <c r="E90" s="393">
        <f>'Sources and Uses Budget'!S90</f>
        <v>7500</v>
      </c>
      <c r="F90" s="394">
        <f t="shared" si="10"/>
        <v>7500</v>
      </c>
      <c r="G90" s="394"/>
      <c r="H90" s="393">
        <f>'Sources and Uses Budget'!T90</f>
        <v>0</v>
      </c>
      <c r="I90" s="394"/>
      <c r="J90" s="394"/>
      <c r="K90" s="391"/>
    </row>
    <row r="91" spans="1:11" s="392" customFormat="1">
      <c r="A91" s="155" t="s">
        <v>373</v>
      </c>
      <c r="B91" s="393">
        <f>'Sources and Uses Budget'!C91</f>
        <v>25000</v>
      </c>
      <c r="C91" s="394">
        <f t="shared" si="9"/>
        <v>25000</v>
      </c>
      <c r="D91" s="394"/>
      <c r="E91" s="393">
        <f>'Sources and Uses Budget'!S91</f>
        <v>25000</v>
      </c>
      <c r="F91" s="394">
        <f t="shared" si="10"/>
        <v>25000</v>
      </c>
      <c r="G91" s="394"/>
      <c r="H91" s="393">
        <f>'Sources and Uses Budget'!T91</f>
        <v>0</v>
      </c>
      <c r="I91" s="394"/>
      <c r="J91" s="394"/>
      <c r="K91" s="391"/>
    </row>
    <row r="92" spans="1:11" s="392" customFormat="1">
      <c r="A92" s="543" t="s">
        <v>1354</v>
      </c>
      <c r="B92" s="393">
        <f>'Sources and Uses Budget'!C92</f>
        <v>5000</v>
      </c>
      <c r="C92" s="394">
        <f t="shared" si="9"/>
        <v>5000</v>
      </c>
      <c r="D92" s="394"/>
      <c r="E92" s="393">
        <f>'Sources and Uses Budget'!S92</f>
        <v>5000</v>
      </c>
      <c r="F92" s="394">
        <f t="shared" si="10"/>
        <v>5000</v>
      </c>
      <c r="G92" s="394"/>
      <c r="H92" s="393">
        <f>'Sources and Uses Budget'!T92</f>
        <v>0</v>
      </c>
      <c r="I92" s="394"/>
      <c r="J92" s="394"/>
      <c r="K92" s="391"/>
    </row>
    <row r="93" spans="1:11" s="392" customFormat="1">
      <c r="A93" s="396" t="str">
        <f>'Sources and Uses Budget'!$A93</f>
        <v>Other: (Development Expense)</v>
      </c>
      <c r="B93" s="393">
        <f>'Sources and Uses Budget'!C93</f>
        <v>99490</v>
      </c>
      <c r="C93" s="394">
        <f t="shared" si="9"/>
        <v>99490</v>
      </c>
      <c r="D93" s="394"/>
      <c r="E93" s="393">
        <f>'Sources and Uses Budget'!S93</f>
        <v>99490</v>
      </c>
      <c r="F93" s="394">
        <f t="shared" si="10"/>
        <v>99490</v>
      </c>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6819784</v>
      </c>
      <c r="C96" s="393">
        <f>SUM(C83:C95)</f>
        <v>6819784</v>
      </c>
      <c r="D96" s="393">
        <f>SUM(D83:D95)</f>
        <v>0</v>
      </c>
      <c r="E96" s="393">
        <f>'Sources and Uses Budget'!S96</f>
        <v>6596859</v>
      </c>
      <c r="F96" s="399">
        <f>SUM(F84:F87,F89:F95)</f>
        <v>6596859</v>
      </c>
      <c r="G96" s="399">
        <f>SUM(G84:G87,G89:G95)</f>
        <v>0</v>
      </c>
      <c r="H96" s="393">
        <f>'Sources and Uses Budget'!T96</f>
        <v>0</v>
      </c>
      <c r="I96" s="393">
        <f>SUM(I84:I87,I89:I95)</f>
        <v>0</v>
      </c>
      <c r="J96" s="393">
        <f>SUM(J84:J87,J89:J95)</f>
        <v>0</v>
      </c>
      <c r="K96" s="391"/>
    </row>
    <row r="97" spans="1:11" s="392" customFormat="1">
      <c r="A97" s="397" t="s">
        <v>1090</v>
      </c>
      <c r="B97" s="393">
        <f>'Sources and Uses Budget'!C97</f>
        <v>41838274</v>
      </c>
      <c r="C97" s="393">
        <f>SUM(C63+C70+C77+C81+C96)</f>
        <v>41838274</v>
      </c>
      <c r="D97" s="393">
        <f>SUM(D63+D70+D77+D81+D96)</f>
        <v>0</v>
      </c>
      <c r="E97" s="393">
        <f>'Sources and Uses Budget'!S97</f>
        <v>38083745</v>
      </c>
      <c r="F97" s="399">
        <f>SUM(+F63+F70+F81+F96)</f>
        <v>38083745</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5712561</v>
      </c>
      <c r="C99" s="394">
        <f>B99</f>
        <v>5712561</v>
      </c>
      <c r="D99" s="394"/>
      <c r="E99" s="393">
        <f>'Sources and Uses Budget'!S99</f>
        <v>5712561</v>
      </c>
      <c r="F99" s="394">
        <f>E99</f>
        <v>5712561</v>
      </c>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5712561</v>
      </c>
      <c r="C104" s="393">
        <f>SUM(C99:C103)</f>
        <v>5712561</v>
      </c>
      <c r="D104" s="393">
        <f>SUM(D99:D103)</f>
        <v>0</v>
      </c>
      <c r="E104" s="393">
        <f>'Sources and Uses Budget'!S104</f>
        <v>5712561</v>
      </c>
      <c r="F104" s="399">
        <f>SUM(F99:F103)</f>
        <v>5712561</v>
      </c>
      <c r="G104" s="399">
        <f>SUM(G99:G103)</f>
        <v>0</v>
      </c>
      <c r="H104" s="393">
        <f>'Sources and Uses Budget'!T104</f>
        <v>0</v>
      </c>
      <c r="I104" s="399">
        <f>SUM(I99:I103)</f>
        <v>0</v>
      </c>
      <c r="J104" s="399">
        <f>SUM(J99:J103)</f>
        <v>0</v>
      </c>
      <c r="K104" s="391"/>
    </row>
    <row r="105" spans="1:11" s="392" customFormat="1">
      <c r="A105" s="397" t="s">
        <v>1091</v>
      </c>
      <c r="B105" s="393">
        <f>'Sources and Uses Budget'!C105</f>
        <v>47550835</v>
      </c>
      <c r="C105" s="399">
        <f>SUM(C97+C104)</f>
        <v>47550835</v>
      </c>
      <c r="D105" s="399">
        <f>SUM(D97+D104)</f>
        <v>0</v>
      </c>
      <c r="E105" s="393">
        <f>'Sources and Uses Budget'!S105</f>
        <v>43796306</v>
      </c>
      <c r="F105" s="399">
        <f>F97+F104</f>
        <v>43796306</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43796306</v>
      </c>
      <c r="F107" s="399">
        <f>F105+F106</f>
        <v>43796306</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2"/>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3"/>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30" zoomScaleNormal="100" zoomScaleSheetLayoutView="100" workbookViewId="0">
      <selection activeCell="B147" sqref="B147:AI14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899" t="s">
        <v>1472</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row>
    <row r="2" spans="1:42" s="571" customFormat="1" ht="12.75" customHeight="1" thickBo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3" t="s">
        <v>1477</v>
      </c>
      <c r="AF7" s="1883"/>
      <c r="AG7" s="1883"/>
      <c r="AH7" s="1883"/>
      <c r="AI7" s="1883"/>
      <c r="AJ7" s="1883"/>
      <c r="AK7" s="1883"/>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3" t="s">
        <v>600</v>
      </c>
      <c r="C13" s="1873"/>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1"/>
      <c r="AH13" s="1901"/>
      <c r="AI13" s="1901"/>
      <c r="AJ13" s="190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3" t="s">
        <v>600</v>
      </c>
      <c r="C16" s="1873"/>
      <c r="D16" s="582"/>
      <c r="E16" s="1884" t="s">
        <v>1479</v>
      </c>
      <c r="F16" s="1885"/>
      <c r="G16" s="1885"/>
      <c r="H16" s="1885"/>
      <c r="I16" s="1885"/>
      <c r="J16" s="1885"/>
      <c r="K16" s="1885"/>
      <c r="L16" s="1885"/>
      <c r="M16" s="1885"/>
      <c r="N16" s="1885"/>
      <c r="O16" s="1885"/>
      <c r="P16" s="1885"/>
      <c r="Q16" s="1885"/>
      <c r="R16" s="1885"/>
      <c r="S16" s="1885"/>
      <c r="T16" s="1885"/>
      <c r="U16" s="1885"/>
      <c r="V16" s="1885"/>
      <c r="W16" s="1885"/>
      <c r="X16" s="1885"/>
      <c r="Y16" s="1885"/>
      <c r="Z16" s="1885"/>
      <c r="AA16" s="1885"/>
      <c r="AB16" s="1885"/>
      <c r="AC16" s="1885"/>
      <c r="AD16" s="1885"/>
      <c r="AE16" s="1885"/>
      <c r="AF16" s="1885"/>
      <c r="AG16" s="1885"/>
      <c r="AH16" s="1885"/>
      <c r="AI16" s="1885"/>
      <c r="AJ16" s="1886"/>
      <c r="AK16" s="575"/>
      <c r="AL16" s="575"/>
      <c r="AM16" s="575"/>
      <c r="AN16" s="570"/>
      <c r="AO16" s="585">
        <f>IF($B25="yes",20,0)</f>
        <v>0</v>
      </c>
      <c r="AP16" s="14"/>
    </row>
    <row r="17" spans="1:42" s="571" customFormat="1" ht="12.75" customHeight="1">
      <c r="A17" s="575"/>
      <c r="B17" s="575"/>
      <c r="C17" s="575"/>
      <c r="D17" s="586"/>
      <c r="E17" s="1887"/>
      <c r="F17" s="1888"/>
      <c r="G17" s="1888"/>
      <c r="H17" s="1888"/>
      <c r="I17" s="1888"/>
      <c r="J17" s="1888"/>
      <c r="K17" s="1888"/>
      <c r="L17" s="1888"/>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9"/>
      <c r="AK17" s="575"/>
      <c r="AL17" s="575"/>
      <c r="AM17" s="575"/>
      <c r="AN17" s="570"/>
      <c r="AO17" s="571">
        <f>IF(SUM(AO13:AO16)&gt;20,20,(SUM(AO13:AO16)))</f>
        <v>0</v>
      </c>
      <c r="AP17" s="571" t="s">
        <v>1480</v>
      </c>
    </row>
    <row r="18" spans="1:42" s="571" customFormat="1" ht="12.75" customHeight="1">
      <c r="A18" s="575"/>
      <c r="B18" s="575"/>
      <c r="C18" s="575"/>
      <c r="D18" s="586"/>
      <c r="E18" s="1887"/>
      <c r="F18" s="1888"/>
      <c r="G18" s="1888"/>
      <c r="H18" s="1888"/>
      <c r="I18" s="1888"/>
      <c r="J18" s="1888"/>
      <c r="K18" s="1888"/>
      <c r="L18" s="1888"/>
      <c r="M18" s="1888"/>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9"/>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2"/>
      <c r="F20" s="1913"/>
      <c r="G20" s="1913"/>
      <c r="H20" s="1913"/>
      <c r="I20" s="1913"/>
      <c r="J20" s="1913"/>
      <c r="K20" s="1913"/>
      <c r="L20" s="1913"/>
      <c r="M20" s="1913"/>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3" t="s">
        <v>600</v>
      </c>
      <c r="C22" s="1873"/>
      <c r="D22" s="582"/>
      <c r="E22" s="1906" t="s">
        <v>1482</v>
      </c>
      <c r="F22" s="1907"/>
      <c r="G22" s="1907"/>
      <c r="H22" s="1907"/>
      <c r="I22" s="1907"/>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1907"/>
      <c r="AJ22" s="1908"/>
      <c r="AK22" s="575"/>
      <c r="AL22" s="575"/>
      <c r="AM22" s="575"/>
      <c r="AN22" s="570"/>
      <c r="AO22" s="571">
        <f>IF(SUM(AO20:AO21)&gt;14,14,SUM(AO20:AO21))</f>
        <v>0</v>
      </c>
      <c r="AP22" s="571" t="s">
        <v>1480</v>
      </c>
    </row>
    <row r="23" spans="1:42" s="571" customFormat="1" ht="12.75" customHeight="1">
      <c r="A23" s="575"/>
      <c r="B23" s="575"/>
      <c r="C23" s="575"/>
      <c r="D23" s="585"/>
      <c r="E23" s="1909"/>
      <c r="F23" s="1910"/>
      <c r="G23" s="1910"/>
      <c r="H23" s="1910"/>
      <c r="I23" s="1910"/>
      <c r="J23" s="1910"/>
      <c r="K23" s="1910"/>
      <c r="L23" s="1910"/>
      <c r="M23" s="1910"/>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3" t="s">
        <v>600</v>
      </c>
      <c r="C25" s="1873"/>
      <c r="D25" s="582"/>
      <c r="E25" s="1874" t="s">
        <v>2431</v>
      </c>
      <c r="F25" s="1875"/>
      <c r="G25" s="1875"/>
      <c r="H25" s="1875"/>
      <c r="I25" s="1875"/>
      <c r="J25" s="1875"/>
      <c r="K25" s="1875"/>
      <c r="L25" s="1875"/>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6"/>
      <c r="AK25" s="575"/>
      <c r="AL25" s="575"/>
      <c r="AM25" s="575"/>
      <c r="AN25" s="570"/>
      <c r="AO25" s="571">
        <f>IF(AO24&gt;6,6,AO24)</f>
        <v>0</v>
      </c>
      <c r="AP25" s="571" t="s">
        <v>1480</v>
      </c>
    </row>
    <row r="26" spans="1:42" s="571" customFormat="1" ht="12.75" customHeight="1">
      <c r="A26" s="575"/>
      <c r="B26" s="575"/>
      <c r="C26" s="575"/>
      <c r="D26" s="585"/>
      <c r="E26" s="1877"/>
      <c r="F26" s="1878"/>
      <c r="G26" s="1878"/>
      <c r="H26" s="1878"/>
      <c r="I26" s="1878"/>
      <c r="J26" s="1878"/>
      <c r="K26" s="1878"/>
      <c r="L26" s="1878"/>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73" t="s">
        <v>600</v>
      </c>
      <c r="C30" s="1873"/>
      <c r="D30" s="582"/>
      <c r="E30" s="1906" t="s">
        <v>2403</v>
      </c>
      <c r="F30" s="1907"/>
      <c r="G30" s="1907"/>
      <c r="H30" s="1907"/>
      <c r="I30" s="1907"/>
      <c r="J30" s="1907"/>
      <c r="K30" s="1907"/>
      <c r="L30" s="1907"/>
      <c r="M30" s="1907"/>
      <c r="N30" s="1907"/>
      <c r="O30" s="1907"/>
      <c r="P30" s="1907"/>
      <c r="Q30" s="1907"/>
      <c r="R30" s="1907"/>
      <c r="S30" s="1907"/>
      <c r="T30" s="1907"/>
      <c r="U30" s="1907"/>
      <c r="V30" s="1907"/>
      <c r="W30" s="1907"/>
      <c r="X30" s="1907"/>
      <c r="Y30" s="1907"/>
      <c r="Z30" s="1907"/>
      <c r="AA30" s="1907"/>
      <c r="AB30" s="1907"/>
      <c r="AC30" s="1907"/>
      <c r="AD30" s="1907"/>
      <c r="AE30" s="1907"/>
      <c r="AF30" s="1907"/>
      <c r="AG30" s="1907"/>
      <c r="AH30" s="1907"/>
      <c r="AI30" s="1907"/>
      <c r="AJ30" s="1908"/>
      <c r="AK30" s="575"/>
      <c r="AL30" s="575"/>
      <c r="AM30" s="575"/>
      <c r="AN30" s="570"/>
      <c r="AO30" s="585"/>
    </row>
    <row r="31" spans="1:42" s="571" customFormat="1" ht="12.75" customHeight="1">
      <c r="A31" s="575"/>
      <c r="B31" s="575"/>
      <c r="C31" s="575"/>
      <c r="E31" s="1909"/>
      <c r="F31" s="1910"/>
      <c r="G31" s="1910"/>
      <c r="H31" s="1910"/>
      <c r="I31" s="1910"/>
      <c r="J31" s="1910"/>
      <c r="K31" s="1910"/>
      <c r="L31" s="1910"/>
      <c r="M31" s="1910"/>
      <c r="N31" s="1910"/>
      <c r="O31" s="1910"/>
      <c r="P31" s="1910"/>
      <c r="Q31" s="1910"/>
      <c r="R31" s="1910"/>
      <c r="S31" s="1910"/>
      <c r="T31" s="1910"/>
      <c r="U31" s="1910"/>
      <c r="V31" s="1910"/>
      <c r="W31" s="1910"/>
      <c r="X31" s="1910"/>
      <c r="Y31" s="1910"/>
      <c r="Z31" s="1910"/>
      <c r="AA31" s="1910"/>
      <c r="AB31" s="1910"/>
      <c r="AC31" s="1910"/>
      <c r="AD31" s="1910"/>
      <c r="AE31" s="1910"/>
      <c r="AF31" s="1910"/>
      <c r="AG31" s="1910"/>
      <c r="AH31" s="1910"/>
      <c r="AI31" s="1910"/>
      <c r="AJ31" s="191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3" t="s">
        <v>600</v>
      </c>
      <c r="C33" s="1873"/>
      <c r="D33" s="582"/>
      <c r="E33" s="1874" t="s">
        <v>2404</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6"/>
      <c r="AK33" s="575"/>
      <c r="AL33" s="575"/>
      <c r="AM33" s="575"/>
      <c r="AN33" s="570"/>
    </row>
    <row r="34" spans="1:41" s="571" customFormat="1" ht="12.75" customHeight="1">
      <c r="A34" s="575"/>
      <c r="B34" s="575"/>
      <c r="C34" s="575"/>
      <c r="E34" s="1880"/>
      <c r="F34" s="1881"/>
      <c r="G34" s="1881"/>
      <c r="H34" s="1881"/>
      <c r="I34" s="1881"/>
      <c r="J34" s="1881"/>
      <c r="K34" s="1881"/>
      <c r="L34" s="1881"/>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2"/>
      <c r="AK34" s="575"/>
      <c r="AL34" s="575"/>
      <c r="AM34" s="575"/>
      <c r="AN34" s="570"/>
    </row>
    <row r="35" spans="1:41" s="571" customFormat="1" ht="12.75" customHeight="1">
      <c r="A35" s="575"/>
      <c r="B35" s="575"/>
      <c r="C35" s="575"/>
      <c r="E35" s="1877"/>
      <c r="F35" s="1878"/>
      <c r="G35" s="1878"/>
      <c r="H35" s="1878"/>
      <c r="I35" s="1878"/>
      <c r="J35" s="1878"/>
      <c r="K35" s="1878"/>
      <c r="L35" s="1878"/>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3" t="s">
        <v>600</v>
      </c>
      <c r="C39" s="1873"/>
      <c r="D39" s="1195"/>
      <c r="E39" s="1874" t="s">
        <v>2405</v>
      </c>
      <c r="F39" s="1875"/>
      <c r="G39" s="1875"/>
      <c r="H39" s="1875"/>
      <c r="I39" s="1875"/>
      <c r="J39" s="1875"/>
      <c r="K39" s="1875"/>
      <c r="L39" s="1875"/>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6"/>
      <c r="AK39" s="1195"/>
      <c r="AL39" s="575"/>
      <c r="AM39" s="575"/>
      <c r="AN39" s="570"/>
    </row>
    <row r="40" spans="1:41" s="571" customFormat="1" ht="12.75" customHeight="1">
      <c r="A40" s="575"/>
      <c r="B40" s="575"/>
      <c r="C40" s="575"/>
      <c r="E40" s="1880"/>
      <c r="F40" s="1881"/>
      <c r="G40" s="1881"/>
      <c r="H40" s="1881"/>
      <c r="I40" s="1881"/>
      <c r="J40" s="1881"/>
      <c r="K40" s="1881"/>
      <c r="L40" s="1881"/>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2"/>
      <c r="AK40" s="575"/>
      <c r="AL40" s="575"/>
      <c r="AM40" s="575"/>
      <c r="AN40" s="570"/>
    </row>
    <row r="41" spans="1:41" s="571" customFormat="1" ht="12.75" customHeight="1">
      <c r="A41" s="575"/>
      <c r="D41" s="582"/>
      <c r="E41" s="1877"/>
      <c r="F41" s="1878"/>
      <c r="G41" s="1878"/>
      <c r="H41" s="1878"/>
      <c r="I41" s="1878"/>
      <c r="J41" s="1878"/>
      <c r="K41" s="1878"/>
      <c r="L41" s="1878"/>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3" t="s">
        <v>600</v>
      </c>
      <c r="C46" s="1873"/>
      <c r="D46" s="575"/>
      <c r="E46" s="1874" t="s">
        <v>2410</v>
      </c>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6"/>
      <c r="AK46" s="575"/>
      <c r="AL46" s="575"/>
      <c r="AM46" s="575"/>
      <c r="AN46" s="570"/>
      <c r="AO46" s="594"/>
    </row>
    <row r="47" spans="1:41" s="571" customFormat="1" ht="12.75" customHeight="1">
      <c r="A47" s="575"/>
      <c r="D47" s="582"/>
      <c r="E47" s="1880"/>
      <c r="F47" s="1881"/>
      <c r="G47" s="1881"/>
      <c r="H47" s="1881"/>
      <c r="I47" s="1881"/>
      <c r="J47" s="1881"/>
      <c r="K47" s="1881"/>
      <c r="L47" s="1881"/>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2"/>
      <c r="AK47" s="575"/>
      <c r="AL47" s="575"/>
      <c r="AM47" s="575"/>
      <c r="AN47" s="570"/>
      <c r="AO47" s="594"/>
    </row>
    <row r="48" spans="1:41" s="571" customFormat="1" ht="12.75" customHeight="1">
      <c r="A48" s="575"/>
      <c r="D48" s="575"/>
      <c r="E48" s="1877"/>
      <c r="F48" s="1878"/>
      <c r="G48" s="1878"/>
      <c r="H48" s="1878"/>
      <c r="I48" s="1878"/>
      <c r="J48" s="1878"/>
      <c r="K48" s="1878"/>
      <c r="L48" s="1878"/>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3" t="s">
        <v>600</v>
      </c>
      <c r="C50" s="1873"/>
      <c r="D50" s="575"/>
      <c r="E50" s="1894" t="s">
        <v>2411</v>
      </c>
      <c r="F50" s="1895"/>
      <c r="G50" s="1895"/>
      <c r="H50" s="1895"/>
      <c r="I50" s="1895"/>
      <c r="J50" s="1895"/>
      <c r="K50" s="1895"/>
      <c r="L50" s="1895"/>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3" t="s">
        <v>600</v>
      </c>
      <c r="C52" s="1873"/>
      <c r="D52" s="575"/>
      <c r="E52" s="1874" t="s">
        <v>2412</v>
      </c>
      <c r="F52" s="1875"/>
      <c r="G52" s="1875"/>
      <c r="H52" s="1875"/>
      <c r="I52" s="1875"/>
      <c r="J52" s="1875"/>
      <c r="K52" s="1875"/>
      <c r="L52" s="1875"/>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6"/>
      <c r="AK52" s="575"/>
      <c r="AL52" s="575"/>
      <c r="AM52" s="575"/>
      <c r="AN52" s="570"/>
    </row>
    <row r="53" spans="1:50" s="571" customFormat="1" ht="12.75" customHeight="1">
      <c r="A53" s="575"/>
      <c r="B53" s="582"/>
      <c r="C53" s="582"/>
      <c r="D53" s="582"/>
      <c r="E53" s="1877"/>
      <c r="F53" s="1878"/>
      <c r="G53" s="1878"/>
      <c r="H53" s="1878"/>
      <c r="I53" s="1878"/>
      <c r="J53" s="1878"/>
      <c r="K53" s="1878"/>
      <c r="L53" s="1878"/>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03">
        <f>AO36</f>
        <v>0</v>
      </c>
      <c r="AL56" s="1904"/>
      <c r="AM56" s="190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3" t="s">
        <v>1486</v>
      </c>
      <c r="AF59" s="1883"/>
      <c r="AG59" s="1883"/>
      <c r="AH59" s="1883"/>
      <c r="AI59" s="1883"/>
      <c r="AJ59" s="1883"/>
      <c r="AK59" s="1883"/>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3" t="s">
        <v>600</v>
      </c>
      <c r="C62" s="1873"/>
      <c r="D62" s="582" t="s">
        <v>1487</v>
      </c>
      <c r="E62" s="1884" t="s">
        <v>2413</v>
      </c>
      <c r="F62" s="1885"/>
      <c r="G62" s="1885"/>
      <c r="H62" s="1885"/>
      <c r="I62" s="1885"/>
      <c r="J62" s="1885"/>
      <c r="K62" s="1885"/>
      <c r="L62" s="1885"/>
      <c r="M62" s="1885"/>
      <c r="N62" s="1885"/>
      <c r="O62" s="1885"/>
      <c r="P62" s="1885"/>
      <c r="Q62" s="1885"/>
      <c r="R62" s="1885"/>
      <c r="S62" s="1885"/>
      <c r="T62" s="1885"/>
      <c r="U62" s="1885"/>
      <c r="V62" s="1885"/>
      <c r="W62" s="1885"/>
      <c r="X62" s="1885"/>
      <c r="Y62" s="1885"/>
      <c r="Z62" s="1885"/>
      <c r="AA62" s="1885"/>
      <c r="AB62" s="1885"/>
      <c r="AC62" s="1885"/>
      <c r="AD62" s="1885"/>
      <c r="AE62" s="1885"/>
      <c r="AF62" s="1885"/>
      <c r="AG62" s="1885"/>
      <c r="AH62" s="1885"/>
      <c r="AI62" s="1885"/>
      <c r="AJ62" s="1886"/>
      <c r="AK62" s="578"/>
      <c r="AL62" s="575"/>
      <c r="AM62" s="575"/>
      <c r="AN62" s="570"/>
      <c r="AO62" s="585">
        <f>IF($B62="yes",10,0)</f>
        <v>0</v>
      </c>
    </row>
    <row r="63" spans="1:50" s="571" customFormat="1" ht="12.75" customHeight="1">
      <c r="A63" s="573"/>
      <c r="B63" s="575"/>
      <c r="C63" s="575"/>
      <c r="D63" s="586"/>
      <c r="E63" s="1887"/>
      <c r="F63" s="1888"/>
      <c r="G63" s="1888"/>
      <c r="H63" s="1888"/>
      <c r="I63" s="1888"/>
      <c r="J63" s="1888"/>
      <c r="K63" s="1888"/>
      <c r="L63" s="1888"/>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9"/>
      <c r="AK63" s="578"/>
      <c r="AL63" s="575"/>
      <c r="AM63" s="575"/>
      <c r="AN63" s="570"/>
      <c r="AO63" s="585">
        <f>IF($B68="yes",10,0)</f>
        <v>0</v>
      </c>
    </row>
    <row r="64" spans="1:50" s="571" customFormat="1" ht="12.75" customHeight="1">
      <c r="A64" s="573"/>
      <c r="B64" s="575"/>
      <c r="C64" s="575"/>
      <c r="D64" s="586"/>
      <c r="E64" s="1887"/>
      <c r="F64" s="1888"/>
      <c r="G64" s="1888"/>
      <c r="H64" s="1888"/>
      <c r="I64" s="1888"/>
      <c r="J64" s="1888"/>
      <c r="K64" s="1888"/>
      <c r="L64" s="1888"/>
      <c r="M64" s="1888"/>
      <c r="N64" s="1888"/>
      <c r="O64" s="1888"/>
      <c r="P64" s="1888"/>
      <c r="Q64" s="1888"/>
      <c r="R64" s="1888"/>
      <c r="S64" s="1888"/>
      <c r="T64" s="1888"/>
      <c r="U64" s="1888"/>
      <c r="V64" s="1888"/>
      <c r="W64" s="1888"/>
      <c r="X64" s="1888"/>
      <c r="Y64" s="1888"/>
      <c r="Z64" s="1888"/>
      <c r="AA64" s="1888"/>
      <c r="AB64" s="1888"/>
      <c r="AC64" s="1888"/>
      <c r="AD64" s="1888"/>
      <c r="AE64" s="1888"/>
      <c r="AF64" s="1888"/>
      <c r="AG64" s="1888"/>
      <c r="AH64" s="1888"/>
      <c r="AI64" s="1888"/>
      <c r="AJ64" s="1889"/>
      <c r="AK64" s="578"/>
      <c r="AL64" s="575"/>
      <c r="AM64" s="575"/>
      <c r="AN64" s="570"/>
      <c r="AO64" s="585">
        <f>IF($B75="yes",10,0)</f>
        <v>10</v>
      </c>
    </row>
    <row r="65" spans="1:42" s="571" customFormat="1" ht="12.75" customHeight="1">
      <c r="A65" s="573"/>
      <c r="B65" s="575"/>
      <c r="C65" s="575"/>
      <c r="D65" s="586"/>
      <c r="E65" s="1887"/>
      <c r="F65" s="1888"/>
      <c r="G65" s="1888"/>
      <c r="H65" s="1888"/>
      <c r="I65" s="1888"/>
      <c r="J65" s="1888"/>
      <c r="K65" s="1888"/>
      <c r="L65" s="1888"/>
      <c r="M65" s="1888"/>
      <c r="N65" s="1888"/>
      <c r="O65" s="1888"/>
      <c r="P65" s="1888"/>
      <c r="Q65" s="1888"/>
      <c r="R65" s="1888"/>
      <c r="S65" s="1888"/>
      <c r="T65" s="1888"/>
      <c r="U65" s="1888"/>
      <c r="V65" s="1888"/>
      <c r="W65" s="1888"/>
      <c r="X65" s="1888"/>
      <c r="Y65" s="1888"/>
      <c r="Z65" s="1888"/>
      <c r="AA65" s="1888"/>
      <c r="AB65" s="1888"/>
      <c r="AC65" s="1888"/>
      <c r="AD65" s="1888"/>
      <c r="AE65" s="1888"/>
      <c r="AF65" s="1888"/>
      <c r="AG65" s="1888"/>
      <c r="AH65" s="1888"/>
      <c r="AI65" s="1888"/>
      <c r="AJ65" s="1889"/>
      <c r="AK65" s="578"/>
      <c r="AL65" s="575"/>
      <c r="AM65" s="575"/>
      <c r="AN65" s="570"/>
      <c r="AO65" s="571">
        <f>IF(SUM(AO62:AO64)&gt;10,10,(SUM(AO62:AO64)))</f>
        <v>10</v>
      </c>
      <c r="AP65" s="609" t="s">
        <v>1488</v>
      </c>
    </row>
    <row r="66" spans="1:42" s="571" customFormat="1" ht="12.75" customHeight="1">
      <c r="A66" s="573"/>
      <c r="B66" s="575"/>
      <c r="C66" s="575"/>
      <c r="D66" s="586"/>
      <c r="E66" s="1890"/>
      <c r="F66" s="1891"/>
      <c r="G66" s="1891"/>
      <c r="H66" s="1891"/>
      <c r="I66" s="1891"/>
      <c r="J66" s="1891"/>
      <c r="K66" s="1891"/>
      <c r="L66" s="1891"/>
      <c r="M66" s="1891"/>
      <c r="N66" s="1891"/>
      <c r="O66" s="1891"/>
      <c r="P66" s="1891"/>
      <c r="Q66" s="1891"/>
      <c r="R66" s="1891"/>
      <c r="S66" s="1891"/>
      <c r="T66" s="1891"/>
      <c r="U66" s="1891"/>
      <c r="V66" s="1891"/>
      <c r="W66" s="1891"/>
      <c r="X66" s="1891"/>
      <c r="Y66" s="1891"/>
      <c r="Z66" s="1891"/>
      <c r="AA66" s="1891"/>
      <c r="AB66" s="1891"/>
      <c r="AC66" s="1891"/>
      <c r="AD66" s="1891"/>
      <c r="AE66" s="1891"/>
      <c r="AF66" s="1891"/>
      <c r="AG66" s="1891"/>
      <c r="AH66" s="1891"/>
      <c r="AI66" s="1891"/>
      <c r="AJ66" s="189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3" t="s">
        <v>600</v>
      </c>
      <c r="C68" s="1873"/>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3" t="s">
        <v>600</v>
      </c>
      <c r="F69" s="1873"/>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1" t="s">
        <v>600</v>
      </c>
      <c r="F70" s="1872"/>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1" t="s">
        <v>600</v>
      </c>
      <c r="F71" s="1872"/>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3" t="s">
        <v>600</v>
      </c>
      <c r="F73" s="1873"/>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3" t="s">
        <v>554</v>
      </c>
      <c r="C75" s="1873"/>
      <c r="D75" s="582" t="s">
        <v>1492</v>
      </c>
      <c r="E75" s="1874" t="s">
        <v>2000</v>
      </c>
      <c r="F75" s="1875"/>
      <c r="G75" s="1875"/>
      <c r="H75" s="1875"/>
      <c r="I75" s="1875"/>
      <c r="J75" s="1875"/>
      <c r="K75" s="1875"/>
      <c r="L75" s="1875"/>
      <c r="M75" s="1875"/>
      <c r="N75" s="1875"/>
      <c r="O75" s="1875"/>
      <c r="P75" s="1875"/>
      <c r="Q75" s="1875"/>
      <c r="R75" s="1875"/>
      <c r="S75" s="1875"/>
      <c r="T75" s="1875"/>
      <c r="U75" s="1875"/>
      <c r="V75" s="1875"/>
      <c r="W75" s="1875"/>
      <c r="X75" s="1875"/>
      <c r="Y75" s="1875"/>
      <c r="Z75" s="1875"/>
      <c r="AA75" s="1875"/>
      <c r="AB75" s="1875"/>
      <c r="AC75" s="1875"/>
      <c r="AD75" s="1875"/>
      <c r="AE75" s="1875"/>
      <c r="AF75" s="1875"/>
      <c r="AG75" s="1875"/>
      <c r="AH75" s="1875"/>
      <c r="AI75" s="1875"/>
      <c r="AJ75" s="1876"/>
      <c r="AK75" s="578"/>
      <c r="AL75" s="575"/>
      <c r="AM75" s="575"/>
      <c r="AN75" s="570"/>
    </row>
    <row r="76" spans="1:42" s="571" customFormat="1" ht="12.75" customHeight="1">
      <c r="A76" s="573"/>
      <c r="B76" s="575"/>
      <c r="C76" s="575"/>
      <c r="D76" s="585"/>
      <c r="E76" s="1877"/>
      <c r="F76" s="1878"/>
      <c r="G76" s="1878"/>
      <c r="H76" s="1878"/>
      <c r="I76" s="1878"/>
      <c r="J76" s="1878"/>
      <c r="K76" s="1878"/>
      <c r="L76" s="1878"/>
      <c r="M76" s="1878"/>
      <c r="N76" s="1878"/>
      <c r="O76" s="1878"/>
      <c r="P76" s="1878"/>
      <c r="Q76" s="1878"/>
      <c r="R76" s="1878"/>
      <c r="S76" s="1878"/>
      <c r="T76" s="1878"/>
      <c r="U76" s="1878"/>
      <c r="V76" s="1878"/>
      <c r="W76" s="1878"/>
      <c r="X76" s="1878"/>
      <c r="Y76" s="1878"/>
      <c r="Z76" s="1878"/>
      <c r="AA76" s="1878"/>
      <c r="AB76" s="1878"/>
      <c r="AC76" s="1878"/>
      <c r="AD76" s="1878"/>
      <c r="AE76" s="1878"/>
      <c r="AF76" s="1878"/>
      <c r="AG76" s="1878"/>
      <c r="AH76" s="1878"/>
      <c r="AI76" s="1878"/>
      <c r="AJ76" s="187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03">
        <f>IF(AK56&gt;0,0,AO65)</f>
        <v>10</v>
      </c>
      <c r="AL78" s="1904"/>
      <c r="AM78" s="190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3" t="s">
        <v>1477</v>
      </c>
      <c r="AF81" s="1883"/>
      <c r="AG81" s="1883"/>
      <c r="AH81" s="1883"/>
      <c r="AI81" s="1883"/>
      <c r="AJ81" s="1883"/>
      <c r="AK81" s="1883"/>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3" t="s">
        <v>600</v>
      </c>
      <c r="C84" s="1873"/>
      <c r="D84" s="582" t="s">
        <v>1487</v>
      </c>
      <c r="E84" s="1884" t="s">
        <v>1497</v>
      </c>
      <c r="F84" s="1885"/>
      <c r="G84" s="1885"/>
      <c r="H84" s="1885"/>
      <c r="I84" s="1885"/>
      <c r="J84" s="1885"/>
      <c r="K84" s="1885"/>
      <c r="L84" s="1885"/>
      <c r="M84" s="1885"/>
      <c r="N84" s="1885"/>
      <c r="O84" s="1885"/>
      <c r="P84" s="1885"/>
      <c r="Q84" s="1885"/>
      <c r="R84" s="1885"/>
      <c r="S84" s="1885"/>
      <c r="T84" s="1885"/>
      <c r="U84" s="1885"/>
      <c r="V84" s="1885"/>
      <c r="W84" s="1885"/>
      <c r="X84" s="1885"/>
      <c r="Y84" s="1885"/>
      <c r="Z84" s="1885"/>
      <c r="AA84" s="1885"/>
      <c r="AB84" s="1885"/>
      <c r="AC84" s="1885"/>
      <c r="AD84" s="1885"/>
      <c r="AE84" s="1885"/>
      <c r="AF84" s="1885"/>
      <c r="AG84" s="1885"/>
      <c r="AH84" s="1885"/>
      <c r="AI84" s="1885"/>
      <c r="AJ84" s="1886"/>
      <c r="AK84" s="578"/>
      <c r="AL84" s="575"/>
      <c r="AM84" s="575"/>
      <c r="AN84" s="570"/>
    </row>
    <row r="85" spans="1:43" s="571" customFormat="1" ht="12.75" customHeight="1">
      <c r="A85" s="573"/>
      <c r="B85" s="574"/>
      <c r="C85" s="574"/>
      <c r="D85" s="574"/>
      <c r="E85" s="1887"/>
      <c r="F85" s="1888"/>
      <c r="G85" s="1888"/>
      <c r="H85" s="1888"/>
      <c r="I85" s="1888"/>
      <c r="J85" s="1888"/>
      <c r="K85" s="1888"/>
      <c r="L85" s="1888"/>
      <c r="M85" s="1888"/>
      <c r="N85" s="1888"/>
      <c r="O85" s="1888"/>
      <c r="P85" s="1888"/>
      <c r="Q85" s="1888"/>
      <c r="R85" s="1888"/>
      <c r="S85" s="1888"/>
      <c r="T85" s="1888"/>
      <c r="U85" s="1888"/>
      <c r="V85" s="1888"/>
      <c r="W85" s="1888"/>
      <c r="X85" s="1888"/>
      <c r="Y85" s="1888"/>
      <c r="Z85" s="1888"/>
      <c r="AA85" s="1888"/>
      <c r="AB85" s="1888"/>
      <c r="AC85" s="1888"/>
      <c r="AD85" s="1888"/>
      <c r="AE85" s="1888"/>
      <c r="AF85" s="1888"/>
      <c r="AG85" s="1888"/>
      <c r="AH85" s="1888"/>
      <c r="AI85" s="1888"/>
      <c r="AJ85" s="188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7">
        <f>Application!AC739</f>
        <v>0.5895652173913043</v>
      </c>
      <c r="F87" s="1868"/>
      <c r="G87" s="1868"/>
      <c r="H87" s="1868"/>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69">
        <f>0.6-ROUNDUP(E87,2)</f>
        <v>1.0000000000000009E-2</v>
      </c>
      <c r="F88" s="1870"/>
      <c r="G88" s="1870"/>
      <c r="H88" s="1870"/>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7">
        <f>IF(E88*200&gt;20,20,E88*200)</f>
        <v>2.0000000000000018</v>
      </c>
      <c r="F89" s="1898"/>
      <c r="G89" s="1898"/>
      <c r="H89" s="1898"/>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3" t="s">
        <v>554</v>
      </c>
      <c r="C92" s="1873"/>
      <c r="D92" s="582" t="s">
        <v>1489</v>
      </c>
      <c r="E92" s="1884" t="s">
        <v>1985</v>
      </c>
      <c r="F92" s="1885"/>
      <c r="G92" s="1885"/>
      <c r="H92" s="1885"/>
      <c r="I92" s="1885"/>
      <c r="J92" s="1885"/>
      <c r="K92" s="1885"/>
      <c r="L92" s="1885"/>
      <c r="M92" s="1885"/>
      <c r="N92" s="1885"/>
      <c r="O92" s="1885"/>
      <c r="P92" s="1885"/>
      <c r="Q92" s="1885"/>
      <c r="R92" s="1885"/>
      <c r="S92" s="1885"/>
      <c r="T92" s="1885"/>
      <c r="U92" s="1885"/>
      <c r="V92" s="1885"/>
      <c r="W92" s="1885"/>
      <c r="X92" s="1885"/>
      <c r="Y92" s="1885"/>
      <c r="Z92" s="1885"/>
      <c r="AA92" s="1885"/>
      <c r="AB92" s="1885"/>
      <c r="AC92" s="1885"/>
      <c r="AD92" s="1885"/>
      <c r="AE92" s="1885"/>
      <c r="AF92" s="1885"/>
      <c r="AG92" s="1885"/>
      <c r="AH92" s="1885"/>
      <c r="AI92" s="1885"/>
      <c r="AJ92" s="1886"/>
      <c r="AK92" s="578"/>
      <c r="AL92" s="575"/>
      <c r="AM92" s="575"/>
      <c r="AN92" s="570"/>
    </row>
    <row r="93" spans="1:43" s="571" customFormat="1" ht="12.75" customHeight="1">
      <c r="A93" s="573"/>
      <c r="B93" s="574"/>
      <c r="C93" s="574"/>
      <c r="D93" s="574"/>
      <c r="E93" s="1887"/>
      <c r="F93" s="1888"/>
      <c r="G93" s="1888"/>
      <c r="H93" s="1888"/>
      <c r="I93" s="1888"/>
      <c r="J93" s="1888"/>
      <c r="K93" s="1888"/>
      <c r="L93" s="1888"/>
      <c r="M93" s="1888"/>
      <c r="N93" s="1888"/>
      <c r="O93" s="1888"/>
      <c r="P93" s="1888"/>
      <c r="Q93" s="1888"/>
      <c r="R93" s="1888"/>
      <c r="S93" s="1888"/>
      <c r="T93" s="1888"/>
      <c r="U93" s="1888"/>
      <c r="V93" s="1888"/>
      <c r="W93" s="1888"/>
      <c r="X93" s="1888"/>
      <c r="Y93" s="1888"/>
      <c r="Z93" s="1888"/>
      <c r="AA93" s="1888"/>
      <c r="AB93" s="1888"/>
      <c r="AC93" s="1888"/>
      <c r="AD93" s="1888"/>
      <c r="AE93" s="1888"/>
      <c r="AF93" s="1888"/>
      <c r="AG93" s="1888"/>
      <c r="AH93" s="1888"/>
      <c r="AI93" s="1888"/>
      <c r="AJ93" s="1889"/>
      <c r="AK93" s="578"/>
      <c r="AL93" s="575"/>
      <c r="AM93" s="575"/>
      <c r="AN93" s="570"/>
    </row>
    <row r="94" spans="1:43" s="571" customFormat="1" ht="12.75" customHeight="1">
      <c r="A94" s="573"/>
      <c r="B94" s="574"/>
      <c r="C94" s="574"/>
      <c r="D94" s="574"/>
      <c r="E94" s="1887"/>
      <c r="F94" s="1888"/>
      <c r="G94" s="1888"/>
      <c r="H94" s="1888"/>
      <c r="I94" s="1888"/>
      <c r="J94" s="1888"/>
      <c r="K94" s="1888"/>
      <c r="L94" s="1888"/>
      <c r="M94" s="1888"/>
      <c r="N94" s="1888"/>
      <c r="O94" s="1888"/>
      <c r="P94" s="1888"/>
      <c r="Q94" s="1888"/>
      <c r="R94" s="1888"/>
      <c r="S94" s="1888"/>
      <c r="T94" s="1888"/>
      <c r="U94" s="1888"/>
      <c r="V94" s="1888"/>
      <c r="W94" s="1888"/>
      <c r="X94" s="1888"/>
      <c r="Y94" s="1888"/>
      <c r="Z94" s="1888"/>
      <c r="AA94" s="1888"/>
      <c r="AB94" s="1888"/>
      <c r="AC94" s="1888"/>
      <c r="AD94" s="1888"/>
      <c r="AE94" s="1888"/>
      <c r="AF94" s="1888"/>
      <c r="AG94" s="1888"/>
      <c r="AH94" s="1888"/>
      <c r="AI94" s="1888"/>
      <c r="AJ94" s="1889"/>
      <c r="AK94" s="578"/>
      <c r="AL94" s="575"/>
      <c r="AM94" s="575"/>
      <c r="AN94" s="570"/>
    </row>
    <row r="95" spans="1:43" s="571" customFormat="1" ht="12.75" customHeight="1">
      <c r="A95" s="573"/>
      <c r="B95" s="574"/>
      <c r="C95" s="574"/>
      <c r="D95" s="574"/>
      <c r="E95" s="1887"/>
      <c r="F95" s="1888"/>
      <c r="G95" s="1888"/>
      <c r="H95" s="1888"/>
      <c r="I95" s="1888"/>
      <c r="J95" s="1888"/>
      <c r="K95" s="1888"/>
      <c r="L95" s="1888"/>
      <c r="M95" s="1888"/>
      <c r="N95" s="1888"/>
      <c r="O95" s="1888"/>
      <c r="P95" s="1888"/>
      <c r="Q95" s="1888"/>
      <c r="R95" s="1888"/>
      <c r="S95" s="1888"/>
      <c r="T95" s="1888"/>
      <c r="U95" s="1888"/>
      <c r="V95" s="1888"/>
      <c r="W95" s="1888"/>
      <c r="X95" s="1888"/>
      <c r="Y95" s="1888"/>
      <c r="Z95" s="1888"/>
      <c r="AA95" s="1888"/>
      <c r="AB95" s="1888"/>
      <c r="AC95" s="1888"/>
      <c r="AD95" s="1888"/>
      <c r="AE95" s="1888"/>
      <c r="AF95" s="1888"/>
      <c r="AG95" s="1888"/>
      <c r="AH95" s="1888"/>
      <c r="AI95" s="1888"/>
      <c r="AJ95" s="188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7">
        <f>Application!AC739</f>
        <v>0.5895652173913043</v>
      </c>
      <c r="F97" s="1868"/>
      <c r="G97" s="1868"/>
      <c r="H97" s="1868"/>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7">
        <f ca="1">SUMIF(Application!AC714:AG738,0.2,Application!G714:J738)/Application!G739+SUMIF(Application!AC714:AG738,0.25,Application!G714:J738)/Application!G739+SUMIF(Application!AC714:AG738,0.3,Application!G714:J738)/Application!G739</f>
        <v>0.10434782608695652</v>
      </c>
      <c r="F98" s="1868"/>
      <c r="G98" s="1868"/>
      <c r="H98" s="1868"/>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7">
        <f ca="1">SUMIF(Application!AC714:AG738,0.35,Application!G714:J738)/Application!G739+SUMIF(Application!AC714:AG738,0.4,Application!G714:J738)/Application!G739+SUMIF(Application!AC714:AG738,0.45,Application!G714:J738)/Application!G739+SUMIF(Application!AC714:AG738,0.5,Application!G714:J738)/Application!G739</f>
        <v>0.35652173913043478</v>
      </c>
      <c r="F99" s="1868"/>
      <c r="G99" s="1868"/>
      <c r="H99" s="1868"/>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2">
        <f ca="1">IF(AND(E97&lt;=0.6,E98&gt;=0.1,OR(E99&gt;=0.1,E98&gt;=0.2)),20,0)</f>
        <v>20</v>
      </c>
      <c r="F100" s="1923"/>
      <c r="G100" s="1923"/>
      <c r="H100" s="1923"/>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03">
        <f ca="1">MAX(AP89,AP100)</f>
        <v>20</v>
      </c>
      <c r="AL103" s="1904"/>
      <c r="AM103" s="190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3" t="s">
        <v>1486</v>
      </c>
      <c r="AF106" s="1883"/>
      <c r="AG106" s="1883"/>
      <c r="AH106" s="1883"/>
      <c r="AI106" s="1883"/>
      <c r="AJ106" s="1883"/>
      <c r="AK106" s="1883"/>
      <c r="AL106" s="575"/>
      <c r="AM106" s="575"/>
      <c r="AN106" s="570"/>
      <c r="AO106" s="571" t="str">
        <f>Application!B714</f>
        <v>1 Bedroom</v>
      </c>
      <c r="AQ106" s="571">
        <f>Application!O714</f>
        <v>521</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901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1281</v>
      </c>
    </row>
    <row r="109" spans="1:49" s="571" customFormat="1" ht="12.75" customHeight="1">
      <c r="A109" s="575"/>
      <c r="B109" s="1873" t="s">
        <v>554</v>
      </c>
      <c r="C109" s="1873"/>
      <c r="D109" s="582" t="s">
        <v>1487</v>
      </c>
      <c r="E109" s="1884" t="s">
        <v>2120</v>
      </c>
      <c r="F109" s="1885"/>
      <c r="G109" s="1885"/>
      <c r="H109" s="1885"/>
      <c r="I109" s="1885"/>
      <c r="J109" s="1885"/>
      <c r="K109" s="1885"/>
      <c r="L109" s="1885"/>
      <c r="M109" s="1885"/>
      <c r="N109" s="1885"/>
      <c r="O109" s="1885"/>
      <c r="P109" s="1885"/>
      <c r="Q109" s="1885"/>
      <c r="R109" s="1885"/>
      <c r="S109" s="1885"/>
      <c r="T109" s="1885"/>
      <c r="U109" s="1885"/>
      <c r="V109" s="1885"/>
      <c r="W109" s="1885"/>
      <c r="X109" s="1885"/>
      <c r="Y109" s="1885"/>
      <c r="Z109" s="1885"/>
      <c r="AA109" s="1885"/>
      <c r="AB109" s="1885"/>
      <c r="AC109" s="1885"/>
      <c r="AD109" s="1885"/>
      <c r="AE109" s="1885"/>
      <c r="AF109" s="1885"/>
      <c r="AG109" s="1885"/>
      <c r="AH109" s="1885"/>
      <c r="AI109" s="1885"/>
      <c r="AJ109" s="1886"/>
      <c r="AK109" s="575"/>
      <c r="AL109" s="575"/>
      <c r="AM109" s="575"/>
      <c r="AN109" s="570"/>
      <c r="AO109" s="571" t="str">
        <f>Application!B717</f>
        <v>1 Bedroom</v>
      </c>
      <c r="AQ109" s="571">
        <f>Application!O717</f>
        <v>1472</v>
      </c>
      <c r="AU109" s="571" t="s">
        <v>2102</v>
      </c>
      <c r="AV109" s="630" t="s">
        <v>2103</v>
      </c>
      <c r="AW109" s="571" t="s">
        <v>2104</v>
      </c>
    </row>
    <row r="110" spans="1:49" s="571" customFormat="1" ht="12.75" customHeight="1">
      <c r="A110" s="575"/>
      <c r="B110" s="574"/>
      <c r="C110" s="574"/>
      <c r="D110" s="574"/>
      <c r="E110" s="1887"/>
      <c r="F110" s="1888"/>
      <c r="G110" s="1888"/>
      <c r="H110" s="1888"/>
      <c r="I110" s="1888"/>
      <c r="J110" s="1888"/>
      <c r="K110" s="1888"/>
      <c r="L110" s="1888"/>
      <c r="M110" s="1888"/>
      <c r="N110" s="1888"/>
      <c r="O110" s="1888"/>
      <c r="P110" s="1888"/>
      <c r="Q110" s="1888"/>
      <c r="R110" s="1888"/>
      <c r="S110" s="1888"/>
      <c r="T110" s="1888"/>
      <c r="U110" s="1888"/>
      <c r="V110" s="1888"/>
      <c r="W110" s="1888"/>
      <c r="X110" s="1888"/>
      <c r="Y110" s="1888"/>
      <c r="Z110" s="1888"/>
      <c r="AA110" s="1888"/>
      <c r="AB110" s="1888"/>
      <c r="AC110" s="1888"/>
      <c r="AD110" s="1888"/>
      <c r="AE110" s="1888"/>
      <c r="AF110" s="1888"/>
      <c r="AG110" s="1888"/>
      <c r="AH110" s="1888"/>
      <c r="AI110" s="1888"/>
      <c r="AJ110" s="1889"/>
      <c r="AK110" s="575"/>
      <c r="AL110" s="575"/>
      <c r="AM110" s="575"/>
      <c r="AN110" s="570"/>
      <c r="AO110" s="571" t="str">
        <f>Application!B718</f>
        <v>2 Bedrooms</v>
      </c>
      <c r="AQ110" s="571">
        <f>Application!O718</f>
        <v>624</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87"/>
      <c r="F111" s="1888"/>
      <c r="G111" s="1888"/>
      <c r="H111" s="1888"/>
      <c r="I111" s="1888"/>
      <c r="J111" s="1888"/>
      <c r="K111" s="1888"/>
      <c r="L111" s="1888"/>
      <c r="M111" s="1888"/>
      <c r="N111" s="1888"/>
      <c r="O111" s="1888"/>
      <c r="P111" s="1888"/>
      <c r="Q111" s="1888"/>
      <c r="R111" s="1888"/>
      <c r="S111" s="1888"/>
      <c r="T111" s="1888"/>
      <c r="U111" s="1888"/>
      <c r="V111" s="1888"/>
      <c r="W111" s="1888"/>
      <c r="X111" s="1888"/>
      <c r="Y111" s="1888"/>
      <c r="Z111" s="1888"/>
      <c r="AA111" s="1888"/>
      <c r="AB111" s="1888"/>
      <c r="AC111" s="1888"/>
      <c r="AD111" s="1888"/>
      <c r="AE111" s="1888"/>
      <c r="AF111" s="1888"/>
      <c r="AG111" s="1888"/>
      <c r="AH111" s="1888"/>
      <c r="AI111" s="1888"/>
      <c r="AJ111" s="1889"/>
      <c r="AK111" s="575"/>
      <c r="AL111" s="575"/>
      <c r="AM111" s="575"/>
      <c r="AN111" s="570"/>
      <c r="AO111" s="571" t="str">
        <f>Application!B719</f>
        <v>2 Bedrooms</v>
      </c>
      <c r="AQ111" s="571">
        <f>Application!O719</f>
        <v>1080</v>
      </c>
      <c r="AU111" s="892" t="str">
        <f>J118</f>
        <v>1-bedroom</v>
      </c>
      <c r="AV111" s="571">
        <f t="array" ref="AV111">SUM(IF(Application!B714:F738="1 Bedroom",Application!G714:J738))</f>
        <v>40</v>
      </c>
      <c r="AW111" s="1048">
        <f>AV111/AV116</f>
        <v>0.34782608695652173</v>
      </c>
    </row>
    <row r="112" spans="1:49" s="571" customFormat="1" ht="12.75" customHeight="1">
      <c r="A112" s="575"/>
      <c r="B112" s="574"/>
      <c r="C112" s="574"/>
      <c r="D112" s="574"/>
      <c r="E112" s="1887"/>
      <c r="F112" s="1888"/>
      <c r="G112" s="1888"/>
      <c r="H112" s="1888"/>
      <c r="I112" s="1888"/>
      <c r="J112" s="1888"/>
      <c r="K112" s="1888"/>
      <c r="L112" s="1888"/>
      <c r="M112" s="1888"/>
      <c r="N112" s="1888"/>
      <c r="O112" s="1888"/>
      <c r="P112" s="1888"/>
      <c r="Q112" s="1888"/>
      <c r="R112" s="1888"/>
      <c r="S112" s="1888"/>
      <c r="T112" s="1888"/>
      <c r="U112" s="1888"/>
      <c r="V112" s="1888"/>
      <c r="W112" s="1888"/>
      <c r="X112" s="1888"/>
      <c r="Y112" s="1888"/>
      <c r="Z112" s="1888"/>
      <c r="AA112" s="1888"/>
      <c r="AB112" s="1888"/>
      <c r="AC112" s="1888"/>
      <c r="AD112" s="1888"/>
      <c r="AE112" s="1888"/>
      <c r="AF112" s="1888"/>
      <c r="AG112" s="1888"/>
      <c r="AH112" s="1888"/>
      <c r="AI112" s="1888"/>
      <c r="AJ112" s="1889"/>
      <c r="AK112" s="575"/>
      <c r="AL112" s="575"/>
      <c r="AM112" s="575"/>
      <c r="AN112" s="570"/>
      <c r="AO112" s="571" t="str">
        <f>Application!B720</f>
        <v>2 Bedrooms</v>
      </c>
      <c r="AQ112" s="571">
        <f>Application!O720</f>
        <v>1517</v>
      </c>
      <c r="AU112" s="892" t="str">
        <f>O118</f>
        <v>2-bedroom</v>
      </c>
      <c r="AV112" s="571">
        <f t="array" ref="AV112">SUM(IF(Application!B714:F738="2 Bedrooms",Application!G714:J738))</f>
        <v>46</v>
      </c>
      <c r="AW112" s="1048">
        <f>AV112/AV116</f>
        <v>0.4</v>
      </c>
    </row>
    <row r="113" spans="1:52" s="571" customFormat="1" ht="12.75" customHeight="1">
      <c r="A113" s="575"/>
      <c r="B113" s="574"/>
      <c r="C113" s="574"/>
      <c r="D113" s="574"/>
      <c r="E113" s="1887"/>
      <c r="F113" s="1888"/>
      <c r="G113" s="1888"/>
      <c r="H113" s="1888"/>
      <c r="I113" s="1888"/>
      <c r="J113" s="1888"/>
      <c r="K113" s="1888"/>
      <c r="L113" s="1888"/>
      <c r="M113" s="1888"/>
      <c r="N113" s="1888"/>
      <c r="O113" s="1888"/>
      <c r="P113" s="1888"/>
      <c r="Q113" s="1888"/>
      <c r="R113" s="1888"/>
      <c r="S113" s="1888"/>
      <c r="T113" s="1888"/>
      <c r="U113" s="1888"/>
      <c r="V113" s="1888"/>
      <c r="W113" s="1888"/>
      <c r="X113" s="1888"/>
      <c r="Y113" s="1888"/>
      <c r="Z113" s="1888"/>
      <c r="AA113" s="1888"/>
      <c r="AB113" s="1888"/>
      <c r="AC113" s="1888"/>
      <c r="AD113" s="1888"/>
      <c r="AE113" s="1888"/>
      <c r="AF113" s="1888"/>
      <c r="AG113" s="1888"/>
      <c r="AH113" s="1888"/>
      <c r="AI113" s="1888"/>
      <c r="AJ113" s="1889"/>
      <c r="AK113" s="575"/>
      <c r="AL113" s="575"/>
      <c r="AM113" s="575"/>
      <c r="AN113" s="570"/>
      <c r="AO113" s="571" t="str">
        <f>Application!B721</f>
        <v>2 Bedrooms</v>
      </c>
      <c r="AQ113" s="571">
        <f>Application!O721</f>
        <v>624</v>
      </c>
      <c r="AU113" s="892" t="str">
        <f>T118</f>
        <v>3-bedroom</v>
      </c>
      <c r="AV113" s="571">
        <f t="array" ref="AV113">SUM(IF(Application!B714:F738="3 Bedrooms",Application!G714:J738))</f>
        <v>29</v>
      </c>
      <c r="AW113" s="1048">
        <f>AV113/AV116</f>
        <v>0.25217391304347825</v>
      </c>
    </row>
    <row r="114" spans="1:52" s="571" customFormat="1" ht="12.75" customHeight="1">
      <c r="A114" s="575"/>
      <c r="B114" s="574"/>
      <c r="C114" s="574"/>
      <c r="D114" s="574"/>
      <c r="E114" s="1887"/>
      <c r="F114" s="1888"/>
      <c r="G114" s="1888"/>
      <c r="H114" s="1888"/>
      <c r="I114" s="1888"/>
      <c r="J114" s="1888"/>
      <c r="K114" s="1888"/>
      <c r="L114" s="1888"/>
      <c r="M114" s="1888"/>
      <c r="N114" s="1888"/>
      <c r="O114" s="1888"/>
      <c r="P114" s="1888"/>
      <c r="Q114" s="1888"/>
      <c r="R114" s="1888"/>
      <c r="S114" s="1888"/>
      <c r="T114" s="1888"/>
      <c r="U114" s="1888"/>
      <c r="V114" s="1888"/>
      <c r="W114" s="1888"/>
      <c r="X114" s="1888"/>
      <c r="Y114" s="1888"/>
      <c r="Z114" s="1888"/>
      <c r="AA114" s="1888"/>
      <c r="AB114" s="1888"/>
      <c r="AC114" s="1888"/>
      <c r="AD114" s="1888"/>
      <c r="AE114" s="1888"/>
      <c r="AF114" s="1888"/>
      <c r="AG114" s="1888"/>
      <c r="AH114" s="1888"/>
      <c r="AI114" s="1888"/>
      <c r="AJ114" s="1889"/>
      <c r="AK114" s="575"/>
      <c r="AL114" s="575"/>
      <c r="AM114" s="575"/>
      <c r="AN114" s="570"/>
      <c r="AO114" s="571" t="str">
        <f>Application!B722</f>
        <v>2 Bedrooms</v>
      </c>
      <c r="AQ114" s="571">
        <f>Application!O722</f>
        <v>1080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7"/>
      <c r="F115" s="1888"/>
      <c r="G115" s="1888"/>
      <c r="H115" s="1888"/>
      <c r="I115" s="1888"/>
      <c r="J115" s="1888"/>
      <c r="K115" s="1888"/>
      <c r="L115" s="1888"/>
      <c r="M115" s="1888"/>
      <c r="N115" s="1888"/>
      <c r="O115" s="1888"/>
      <c r="P115" s="1888"/>
      <c r="Q115" s="1888"/>
      <c r="R115" s="1888"/>
      <c r="S115" s="1888"/>
      <c r="T115" s="1888"/>
      <c r="U115" s="1888"/>
      <c r="V115" s="1888"/>
      <c r="W115" s="1888"/>
      <c r="X115" s="1888"/>
      <c r="Y115" s="1888"/>
      <c r="Z115" s="1888"/>
      <c r="AA115" s="1888"/>
      <c r="AB115" s="1888"/>
      <c r="AC115" s="1888"/>
      <c r="AD115" s="1888"/>
      <c r="AE115" s="1888"/>
      <c r="AF115" s="1888"/>
      <c r="AG115" s="1888"/>
      <c r="AH115" s="1888"/>
      <c r="AI115" s="1888"/>
      <c r="AJ115" s="1889"/>
      <c r="AK115" s="575"/>
      <c r="AL115" s="575"/>
      <c r="AM115" s="575"/>
      <c r="AN115" s="570"/>
      <c r="AO115" s="571" t="str">
        <f>Application!B723</f>
        <v>2 Bedrooms</v>
      </c>
      <c r="AQ115" s="571">
        <f>Application!O723</f>
        <v>1536</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7"/>
      <c r="F116" s="1888"/>
      <c r="G116" s="1888"/>
      <c r="H116" s="1888"/>
      <c r="I116" s="1888"/>
      <c r="J116" s="1888"/>
      <c r="K116" s="1888"/>
      <c r="L116" s="1888"/>
      <c r="M116" s="1888"/>
      <c r="N116" s="1888"/>
      <c r="O116" s="1888"/>
      <c r="P116" s="1888"/>
      <c r="Q116" s="1888"/>
      <c r="R116" s="1888"/>
      <c r="S116" s="1888"/>
      <c r="T116" s="1888"/>
      <c r="U116" s="1888"/>
      <c r="V116" s="1888"/>
      <c r="W116" s="1888"/>
      <c r="X116" s="1888"/>
      <c r="Y116" s="1888"/>
      <c r="Z116" s="1888"/>
      <c r="AA116" s="1888"/>
      <c r="AB116" s="1888"/>
      <c r="AC116" s="1888"/>
      <c r="AD116" s="1888"/>
      <c r="AE116" s="1888"/>
      <c r="AF116" s="1888"/>
      <c r="AG116" s="1888"/>
      <c r="AH116" s="1888"/>
      <c r="AI116" s="1888"/>
      <c r="AJ116" s="1889"/>
      <c r="AK116" s="575"/>
      <c r="AL116" s="575"/>
      <c r="AM116" s="575"/>
      <c r="AN116" s="570"/>
      <c r="AO116" s="571" t="str">
        <f>Application!B724</f>
        <v>2 Bedrooms</v>
      </c>
      <c r="AQ116" s="571">
        <f>Application!O724</f>
        <v>1764</v>
      </c>
      <c r="AV116" s="571">
        <f>SUM(AV110:AV115)</f>
        <v>115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720</v>
      </c>
    </row>
    <row r="118" spans="1:52" s="571" customFormat="1" ht="12.75" customHeight="1">
      <c r="A118" s="575"/>
      <c r="B118" s="574"/>
      <c r="C118" s="575"/>
      <c r="D118" s="575"/>
      <c r="E118" s="1867" t="s">
        <v>1765</v>
      </c>
      <c r="F118" s="1868"/>
      <c r="G118" s="1868"/>
      <c r="H118" s="1868"/>
      <c r="I118" s="612"/>
      <c r="J118" s="1868" t="s">
        <v>1810</v>
      </c>
      <c r="K118" s="1868"/>
      <c r="L118" s="1868"/>
      <c r="M118" s="1868"/>
      <c r="N118" s="612"/>
      <c r="O118" s="1868" t="s">
        <v>1811</v>
      </c>
      <c r="P118" s="1868"/>
      <c r="Q118" s="1868"/>
      <c r="R118" s="1868"/>
      <c r="S118" s="612"/>
      <c r="T118" s="1868" t="s">
        <v>1506</v>
      </c>
      <c r="U118" s="1868"/>
      <c r="V118" s="1868"/>
      <c r="W118" s="1868"/>
      <c r="X118" s="612"/>
      <c r="Y118" s="1868" t="s">
        <v>1812</v>
      </c>
      <c r="Z118" s="1868"/>
      <c r="AA118" s="1868"/>
      <c r="AB118" s="1868"/>
      <c r="AC118" s="612"/>
      <c r="AD118" s="1868" t="s">
        <v>1813</v>
      </c>
      <c r="AE118" s="1868"/>
      <c r="AF118" s="1868"/>
      <c r="AG118" s="1868"/>
      <c r="AH118" s="612"/>
      <c r="AI118" s="612"/>
      <c r="AJ118" s="614"/>
      <c r="AK118" s="575"/>
      <c r="AL118" s="575"/>
      <c r="AM118" s="575"/>
      <c r="AN118" s="570"/>
      <c r="AO118" s="571" t="str">
        <f>Application!B726</f>
        <v>3 Bedrooms</v>
      </c>
      <c r="AQ118" s="571">
        <f>Application!O726</f>
        <v>1247</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1774</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1991</v>
      </c>
    </row>
    <row r="121" spans="1:52" s="571" customFormat="1" ht="12.75" customHeight="1">
      <c r="A121" s="575"/>
      <c r="B121" s="574"/>
      <c r="C121" s="575"/>
      <c r="D121" s="575"/>
      <c r="E121" s="1924"/>
      <c r="F121" s="1925"/>
      <c r="G121" s="1925"/>
      <c r="H121" s="1925"/>
      <c r="I121" s="900"/>
      <c r="J121" s="1925">
        <v>2187</v>
      </c>
      <c r="K121" s="1925"/>
      <c r="L121" s="1925"/>
      <c r="M121" s="1925"/>
      <c r="N121" s="900"/>
      <c r="O121" s="1925">
        <v>2266</v>
      </c>
      <c r="P121" s="1925"/>
      <c r="Q121" s="1925"/>
      <c r="R121" s="1925"/>
      <c r="S121" s="900"/>
      <c r="T121" s="1925">
        <v>2680</v>
      </c>
      <c r="U121" s="1925"/>
      <c r="V121" s="1925"/>
      <c r="W121" s="1925"/>
      <c r="X121" s="900"/>
      <c r="Y121" s="1925"/>
      <c r="Z121" s="1925"/>
      <c r="AA121" s="1925"/>
      <c r="AB121" s="1925"/>
      <c r="AC121" s="900"/>
      <c r="AD121" s="1925"/>
      <c r="AE121" s="1925"/>
      <c r="AF121" s="1925"/>
      <c r="AG121" s="192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7">
        <f>Application!DX649</f>
        <v>0</v>
      </c>
      <c r="F124" s="1918"/>
      <c r="G124" s="1918"/>
      <c r="H124" s="1918"/>
      <c r="I124" s="900"/>
      <c r="J124" s="1918">
        <f>Application!EC649</f>
        <v>1076.7749999999999</v>
      </c>
      <c r="K124" s="1918"/>
      <c r="L124" s="1918"/>
      <c r="M124" s="1918"/>
      <c r="N124" s="900"/>
      <c r="O124" s="1918">
        <f>Application!EH649</f>
        <v>1268.7608695652173</v>
      </c>
      <c r="P124" s="1918"/>
      <c r="Q124" s="1918"/>
      <c r="R124" s="1918"/>
      <c r="S124" s="904"/>
      <c r="T124" s="1918">
        <f>Application!EM649</f>
        <v>1490.7241379310344</v>
      </c>
      <c r="U124" s="1918"/>
      <c r="V124" s="1918"/>
      <c r="W124" s="1918"/>
      <c r="X124" s="904"/>
      <c r="Y124" s="1918">
        <f>Application!ER649</f>
        <v>0</v>
      </c>
      <c r="Z124" s="1918"/>
      <c r="AA124" s="1918"/>
      <c r="AB124" s="1918"/>
      <c r="AC124" s="904"/>
      <c r="AD124" s="1918">
        <f>Application!EW649</f>
        <v>0</v>
      </c>
      <c r="AE124" s="1918"/>
      <c r="AF124" s="1918"/>
      <c r="AG124" s="191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0" t="e">
        <f>(E121-E124)/E121</f>
        <v>#DIV/0!</v>
      </c>
      <c r="F127" s="1870"/>
      <c r="G127" s="1870"/>
      <c r="H127" s="2111"/>
      <c r="I127" s="612"/>
      <c r="J127" s="2110">
        <f>(J121-J124)/J121</f>
        <v>0.50764746227709201</v>
      </c>
      <c r="K127" s="1870"/>
      <c r="L127" s="1870"/>
      <c r="M127" s="2111"/>
      <c r="N127" s="612"/>
      <c r="O127" s="2110">
        <f>(O121-O124)/O121</f>
        <v>0.44008787750873024</v>
      </c>
      <c r="P127" s="1870"/>
      <c r="Q127" s="1870"/>
      <c r="R127" s="2111"/>
      <c r="S127" s="612"/>
      <c r="T127" s="2110">
        <f>(T121-T124)/T121</f>
        <v>0.44375965002573342</v>
      </c>
      <c r="U127" s="1870"/>
      <c r="V127" s="1870"/>
      <c r="W127" s="2111"/>
      <c r="X127" s="612"/>
      <c r="Y127" s="2110" t="e">
        <f>(Y121-Y124)/Y121</f>
        <v>#DIV/0!</v>
      </c>
      <c r="Z127" s="1870"/>
      <c r="AA127" s="1870"/>
      <c r="AB127" s="2111"/>
      <c r="AC127" s="612"/>
      <c r="AD127" s="2110" t="e">
        <f>(AD121-AD124)/AD121</f>
        <v>#DIV/0!</v>
      </c>
      <c r="AE127" s="1870"/>
      <c r="AF127" s="1870"/>
      <c r="AG127" s="211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19" t="e">
        <f>IF(((E127-0.1)*AW110)&gt;0,((E127-0.1)*AW110),0)</f>
        <v>#DIV/0!</v>
      </c>
      <c r="F130" s="1920"/>
      <c r="G130" s="1920"/>
      <c r="H130" s="1921"/>
      <c r="I130" s="612"/>
      <c r="J130" s="1919">
        <f>IF(((J127-0.1)*AW111)&gt;0,((J127-0.1)*AW111),0)</f>
        <v>0.14179042166159722</v>
      </c>
      <c r="K130" s="1920"/>
      <c r="L130" s="1920"/>
      <c r="M130" s="1921"/>
      <c r="N130" s="612"/>
      <c r="O130" s="1919">
        <f>IF(((O127-0.1)*AW112)&gt;0,((O127-0.1)*AW112),0)</f>
        <v>0.13603515100349212</v>
      </c>
      <c r="P130" s="1920"/>
      <c r="Q130" s="1920"/>
      <c r="R130" s="1921"/>
      <c r="S130" s="612"/>
      <c r="T130" s="1919">
        <f>IF(((T127-0.1)*AW113)&gt;0,((T127-0.1)*AW113),0)</f>
        <v>8.6687216093445804E-2</v>
      </c>
      <c r="U130" s="1920"/>
      <c r="V130" s="1920"/>
      <c r="W130" s="1921"/>
      <c r="X130" s="612"/>
      <c r="Y130" s="1919" t="e">
        <f>IF(((Y127-0.1)*AW114)&gt;0,((Y127-0.1)*AW114),0)</f>
        <v>#DIV/0!</v>
      </c>
      <c r="Z130" s="1920"/>
      <c r="AA130" s="1920"/>
      <c r="AB130" s="1921"/>
      <c r="AC130" s="612"/>
      <c r="AD130" s="1919" t="e">
        <f>IF(((AD127-0.1)*AW115)&gt;0,((AD127-0.1)*AW115),0)</f>
        <v>#DIV/0!</v>
      </c>
      <c r="AE130" s="1920"/>
      <c r="AF130" s="1920"/>
      <c r="AG130" s="192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0">
        <f>ROUNDDOWN(SUMIF(E130:AG130,"&gt;0"),2)</f>
        <v>0.36</v>
      </c>
      <c r="F132" s="1870"/>
      <c r="G132" s="1870"/>
      <c r="H132" s="2111"/>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3">
        <f>IF((E132*100)&gt;10,10,E132*100)</f>
        <v>10</v>
      </c>
      <c r="F133" s="1904"/>
      <c r="G133" s="1904"/>
      <c r="H133" s="1905"/>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03">
        <f>E133</f>
        <v>10</v>
      </c>
      <c r="AL137" s="1904"/>
      <c r="AM137" s="190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83" t="s">
        <v>1486</v>
      </c>
      <c r="AF140" s="1883"/>
      <c r="AG140" s="1883"/>
      <c r="AH140" s="1883"/>
      <c r="AI140" s="1883"/>
      <c r="AJ140" s="1883"/>
      <c r="AK140" s="1883"/>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5" t="s">
        <v>1510</v>
      </c>
      <c r="AG142" s="1915"/>
      <c r="AH142" s="1915"/>
      <c r="AI142" s="1915"/>
      <c r="AJ142" s="1915"/>
      <c r="AK142" s="1915"/>
      <c r="AL142" s="1915"/>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6" t="s">
        <v>2624</v>
      </c>
      <c r="C144" s="1916"/>
      <c r="D144" s="1916"/>
      <c r="E144" s="1916"/>
      <c r="F144" s="1916"/>
      <c r="G144" s="1916"/>
      <c r="H144" s="1916"/>
      <c r="I144" s="1916"/>
      <c r="J144" s="1916"/>
      <c r="K144" s="1916"/>
      <c r="L144" s="1916"/>
      <c r="M144" s="1916"/>
      <c r="N144" s="1916"/>
      <c r="O144" s="1916"/>
      <c r="P144" s="1916"/>
      <c r="Q144" s="1916"/>
      <c r="R144" s="1916"/>
      <c r="S144" s="1916"/>
      <c r="T144" s="1916"/>
      <c r="U144" s="1916"/>
      <c r="V144" s="1916"/>
      <c r="W144" s="1916"/>
      <c r="X144" s="1916"/>
      <c r="Y144" s="1916"/>
      <c r="Z144" s="1916"/>
      <c r="AA144" s="1916"/>
      <c r="AB144" s="1916"/>
      <c r="AC144" s="191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1" t="s">
        <v>1513</v>
      </c>
      <c r="C147" s="1941"/>
      <c r="D147" s="1941"/>
      <c r="E147" s="1941"/>
      <c r="F147" s="1941"/>
      <c r="G147" s="1941"/>
      <c r="H147" s="1941"/>
      <c r="I147" s="1941"/>
      <c r="J147" s="1941"/>
      <c r="K147" s="1941"/>
      <c r="L147" s="1941"/>
      <c r="M147" s="1941"/>
      <c r="N147" s="1941"/>
      <c r="O147" s="1941"/>
      <c r="P147" s="1941"/>
      <c r="Q147" s="1941"/>
      <c r="R147" s="1941"/>
      <c r="S147" s="1941"/>
      <c r="T147" s="1941"/>
      <c r="U147" s="1941"/>
      <c r="V147" s="1941"/>
      <c r="W147" s="1941"/>
      <c r="X147" s="1941"/>
      <c r="Y147" s="1941"/>
      <c r="Z147" s="1941"/>
      <c r="AA147" s="1941"/>
      <c r="AB147" s="1941"/>
      <c r="AC147" s="1941"/>
      <c r="AD147" s="1941"/>
      <c r="AE147" s="1941"/>
      <c r="AF147" s="1941"/>
      <c r="AG147" s="1941"/>
      <c r="AH147" s="1941"/>
      <c r="AI147" s="1941"/>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1942" t="s">
        <v>600</v>
      </c>
      <c r="AC149" s="194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1" t="s">
        <v>1515</v>
      </c>
      <c r="C152" s="1941"/>
      <c r="D152" s="1941"/>
      <c r="E152" s="1941"/>
      <c r="F152" s="1941"/>
      <c r="G152" s="1941"/>
      <c r="H152" s="1941"/>
      <c r="I152" s="1941"/>
      <c r="J152" s="1941"/>
      <c r="K152" s="1941"/>
      <c r="L152" s="1941"/>
      <c r="M152" s="1941"/>
      <c r="N152" s="1941"/>
      <c r="O152" s="1941"/>
      <c r="P152" s="1941"/>
      <c r="Q152" s="1941"/>
      <c r="R152" s="1941"/>
      <c r="S152" s="1941"/>
      <c r="T152" s="1941"/>
      <c r="U152" s="1941"/>
      <c r="V152" s="1941"/>
      <c r="W152" s="1941"/>
      <c r="X152" s="1941"/>
      <c r="Y152" s="1941"/>
      <c r="Z152" s="1941"/>
      <c r="AA152" s="1941"/>
      <c r="AB152" s="1941"/>
      <c r="AC152" s="1941"/>
      <c r="AD152" s="1941"/>
      <c r="AE152" s="1941"/>
      <c r="AF152" s="1941"/>
      <c r="AG152" s="1941"/>
      <c r="AH152" s="1941"/>
      <c r="AI152" s="1941"/>
      <c r="AJ152" s="1941"/>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4">
        <f>IF($AB$149="N/A",VLOOKUP($B$147,$AO$145:$AP$148,2,FALSE),VLOOKUP($B$152,$AO$150:$AP$153,2,FALSE))</f>
        <v>7</v>
      </c>
      <c r="AK155" s="194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5" t="s">
        <v>1524</v>
      </c>
      <c r="AG157" s="1915"/>
      <c r="AH157" s="1915"/>
      <c r="AI157" s="1915"/>
      <c r="AJ157" s="1915"/>
      <c r="AK157" s="1915"/>
      <c r="AL157" s="1915"/>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1" t="s">
        <v>1522</v>
      </c>
      <c r="D159" s="1941"/>
      <c r="E159" s="1941"/>
      <c r="F159" s="1941"/>
      <c r="G159" s="1941"/>
      <c r="H159" s="1941"/>
      <c r="I159" s="1941"/>
      <c r="J159" s="1941"/>
      <c r="K159" s="1941"/>
      <c r="L159" s="1941"/>
      <c r="M159" s="1941"/>
      <c r="N159" s="1941"/>
      <c r="O159" s="1941"/>
      <c r="P159" s="1941"/>
      <c r="Q159" s="1941"/>
      <c r="R159" s="1941"/>
      <c r="S159" s="1941"/>
      <c r="T159" s="1941"/>
      <c r="U159" s="1941"/>
      <c r="V159" s="1941"/>
      <c r="W159" s="1941"/>
      <c r="X159" s="1941"/>
      <c r="Y159" s="1941"/>
      <c r="Z159" s="1941"/>
      <c r="AA159" s="1941"/>
      <c r="AB159" s="1941"/>
      <c r="AC159" s="1941"/>
      <c r="AD159" s="1941"/>
      <c r="AE159" s="1941"/>
      <c r="AF159" s="1941"/>
      <c r="AG159" s="1941"/>
      <c r="AH159" s="1941"/>
      <c r="AI159" s="1941"/>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2" t="s">
        <v>600</v>
      </c>
      <c r="AD161" s="1942"/>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1" t="s">
        <v>1515</v>
      </c>
      <c r="D163" s="1941"/>
      <c r="E163" s="1941"/>
      <c r="F163" s="1941"/>
      <c r="G163" s="1941"/>
      <c r="H163" s="1941"/>
      <c r="I163" s="1941"/>
      <c r="J163" s="1941"/>
      <c r="K163" s="1941"/>
      <c r="L163" s="1941"/>
      <c r="M163" s="1941"/>
      <c r="N163" s="1941"/>
      <c r="O163" s="1941"/>
      <c r="P163" s="1941"/>
      <c r="Q163" s="1941"/>
      <c r="R163" s="1941"/>
      <c r="S163" s="1941"/>
      <c r="T163" s="1941"/>
      <c r="U163" s="1941"/>
      <c r="V163" s="1941"/>
      <c r="W163" s="1941"/>
      <c r="X163" s="1941"/>
      <c r="Y163" s="1941"/>
      <c r="Z163" s="1941"/>
      <c r="AA163" s="1941"/>
      <c r="AB163" s="1941"/>
      <c r="AC163" s="1941"/>
      <c r="AD163" s="1941"/>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16" t="s">
        <v>2644</v>
      </c>
      <c r="D167" s="1916"/>
      <c r="E167" s="1916"/>
      <c r="F167" s="1916"/>
      <c r="G167" s="1916"/>
      <c r="H167" s="1916"/>
      <c r="I167" s="1916"/>
      <c r="J167" s="1916"/>
      <c r="K167" s="1916"/>
      <c r="L167" s="1916"/>
      <c r="M167" s="1916"/>
      <c r="N167" s="1916"/>
      <c r="O167" s="1916"/>
      <c r="P167" s="1916"/>
      <c r="Q167" s="1916"/>
      <c r="R167" s="1916"/>
      <c r="S167" s="1916"/>
      <c r="T167" s="1916"/>
      <c r="U167" s="1916"/>
      <c r="V167" s="1916"/>
      <c r="W167" s="1916"/>
      <c r="X167" s="1916"/>
      <c r="Y167" s="1916"/>
      <c r="Z167" s="1916"/>
      <c r="AA167" s="1916"/>
      <c r="AB167" s="1916"/>
      <c r="AC167" s="1916"/>
      <c r="AD167" s="1916"/>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3">
        <f>IF($AC$161="N/A",VLOOKUP($C$159,$AO$159:$AP$162,2,FALSE),VLOOKUP($C$163,$AO$166:$AP$168,2,FALSE))</f>
        <v>3</v>
      </c>
      <c r="AK169" s="194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03">
        <f>$AJ$155+$AJ$169</f>
        <v>10</v>
      </c>
      <c r="AL172" s="1904"/>
      <c r="AM172" s="190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3" t="s">
        <v>1486</v>
      </c>
      <c r="AF175" s="1883"/>
      <c r="AG175" s="1883"/>
      <c r="AH175" s="1883"/>
      <c r="AI175" s="1883"/>
      <c r="AJ175" s="1883"/>
      <c r="AK175" s="1883"/>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39" t="s">
        <v>1102</v>
      </c>
      <c r="C177" s="1939"/>
      <c r="D177" s="1939"/>
      <c r="E177" s="1939"/>
      <c r="F177" s="1939"/>
      <c r="G177" s="1939"/>
      <c r="H177" s="1939"/>
      <c r="I177" s="1939"/>
      <c r="J177" s="1939"/>
      <c r="K177" s="1939"/>
      <c r="L177" s="1939"/>
      <c r="M177" s="1939"/>
      <c r="N177" s="1939"/>
      <c r="O177" s="1939"/>
      <c r="P177" s="1939"/>
      <c r="Q177" s="1939"/>
      <c r="R177" s="1939"/>
      <c r="S177" s="1939"/>
      <c r="T177" s="1939"/>
      <c r="U177" s="1939"/>
      <c r="V177" s="1939"/>
      <c r="W177" s="1939"/>
      <c r="X177" s="1939"/>
      <c r="Y177" s="1939"/>
      <c r="Z177" s="1939"/>
      <c r="AA177" s="1939"/>
      <c r="AB177" s="1939"/>
      <c r="AC177" s="1939"/>
      <c r="AD177" s="571"/>
      <c r="AE177" s="571"/>
      <c r="AF177" s="1915" t="s">
        <v>1535</v>
      </c>
      <c r="AG177" s="1915"/>
      <c r="AH177" s="1915"/>
      <c r="AI177" s="1915"/>
      <c r="AJ177" s="1915"/>
      <c r="AK177" s="1915"/>
      <c r="AL177" s="1915"/>
      <c r="AN177" s="632"/>
      <c r="AP177" s="585" t="s">
        <v>1104</v>
      </c>
      <c r="AQ177" s="585">
        <v>10</v>
      </c>
    </row>
    <row r="178" spans="1:45" s="585" customFormat="1" ht="12.75" customHeight="1">
      <c r="A178" s="571"/>
      <c r="B178" s="1940" t="s">
        <v>1986</v>
      </c>
      <c r="C178" s="1940"/>
      <c r="D178" s="1940"/>
      <c r="E178" s="1940"/>
      <c r="F178" s="1940"/>
      <c r="G178" s="1940"/>
      <c r="H178" s="1940"/>
      <c r="I178" s="1940"/>
      <c r="J178" s="1940"/>
      <c r="K178" s="1940"/>
      <c r="L178" s="1940"/>
      <c r="M178" s="1940"/>
      <c r="N178" s="1940"/>
      <c r="O178" s="1940"/>
      <c r="P178" s="1940"/>
      <c r="Q178" s="1940"/>
      <c r="R178" s="1940"/>
      <c r="S178" s="1940"/>
      <c r="T178" s="1916" t="s">
        <v>600</v>
      </c>
      <c r="U178" s="1916"/>
      <c r="V178" s="1916"/>
      <c r="W178" s="1916"/>
      <c r="X178" s="1916"/>
      <c r="Y178" s="1916"/>
      <c r="Z178" s="1916"/>
      <c r="AA178" s="1916"/>
      <c r="AB178" s="1916"/>
      <c r="AC178" s="1916"/>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48">
        <f>IF(AK78&gt;0,VLOOKUP($B$177,AP174:AQ180,2,FALSE),0)</f>
        <v>10</v>
      </c>
      <c r="AL180" s="1949"/>
      <c r="AM180" s="1950"/>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3" t="s">
        <v>1544</v>
      </c>
      <c r="AF183" s="1883"/>
      <c r="AG183" s="1883"/>
      <c r="AH183" s="1883"/>
      <c r="AI183" s="1883"/>
      <c r="AJ183" s="1883"/>
      <c r="AK183" s="188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7" t="s">
        <v>2701</v>
      </c>
      <c r="C188" s="1927"/>
      <c r="D188" s="1927"/>
      <c r="E188" s="1927"/>
      <c r="F188" s="1927"/>
      <c r="G188" s="1927"/>
      <c r="H188" s="1927"/>
      <c r="I188" s="1927"/>
      <c r="J188" s="1927"/>
      <c r="K188" s="1927"/>
      <c r="L188" s="1927"/>
      <c r="M188" s="1927"/>
      <c r="N188" s="1927"/>
      <c r="O188" s="1927"/>
      <c r="P188" s="1927"/>
      <c r="Q188" s="1927"/>
      <c r="R188" s="1927"/>
      <c r="S188" s="1927"/>
      <c r="T188" s="1927"/>
      <c r="U188" s="1927"/>
      <c r="V188" s="1927"/>
      <c r="W188" s="1927"/>
      <c r="X188" s="1927"/>
      <c r="Y188" s="1927"/>
      <c r="Z188" s="1927"/>
      <c r="AA188" s="1927"/>
      <c r="AB188" s="1927"/>
      <c r="AC188" s="882"/>
      <c r="AD188" s="1928">
        <v>6800000</v>
      </c>
      <c r="AE188" s="1928"/>
      <c r="AF188" s="1928"/>
      <c r="AG188" s="1928"/>
      <c r="AH188" s="1928"/>
      <c r="AI188" s="1928"/>
      <c r="AJ188" s="1928"/>
      <c r="AK188" s="645"/>
    </row>
    <row r="189" spans="1:45">
      <c r="A189" s="640"/>
      <c r="B189" s="1927"/>
      <c r="C189" s="1927"/>
      <c r="D189" s="1927"/>
      <c r="E189" s="1927"/>
      <c r="F189" s="1927"/>
      <c r="G189" s="1927"/>
      <c r="H189" s="1927"/>
      <c r="I189" s="1927"/>
      <c r="J189" s="1927"/>
      <c r="K189" s="1927"/>
      <c r="L189" s="1927"/>
      <c r="M189" s="1927"/>
      <c r="N189" s="1927"/>
      <c r="O189" s="1927"/>
      <c r="P189" s="1927"/>
      <c r="Q189" s="1927"/>
      <c r="R189" s="1927"/>
      <c r="S189" s="1927"/>
      <c r="T189" s="1927"/>
      <c r="U189" s="1927"/>
      <c r="V189" s="1927"/>
      <c r="W189" s="1927"/>
      <c r="X189" s="1927"/>
      <c r="Y189" s="1927"/>
      <c r="Z189" s="1927"/>
      <c r="AA189" s="1927"/>
      <c r="AB189" s="1927"/>
      <c r="AC189" s="882"/>
      <c r="AD189" s="1928"/>
      <c r="AE189" s="1928"/>
      <c r="AF189" s="1928"/>
      <c r="AG189" s="1928"/>
      <c r="AH189" s="1928"/>
      <c r="AI189" s="1928"/>
      <c r="AJ189" s="1928"/>
      <c r="AK189" s="645"/>
    </row>
    <row r="190" spans="1:45">
      <c r="A190" s="640"/>
      <c r="B190" s="1927"/>
      <c r="C190" s="1927"/>
      <c r="D190" s="1927"/>
      <c r="E190" s="1927"/>
      <c r="F190" s="1927"/>
      <c r="G190" s="1927"/>
      <c r="H190" s="1927"/>
      <c r="I190" s="1927"/>
      <c r="J190" s="1927"/>
      <c r="K190" s="1927"/>
      <c r="L190" s="1927"/>
      <c r="M190" s="1927"/>
      <c r="N190" s="1927"/>
      <c r="O190" s="1927"/>
      <c r="P190" s="1927"/>
      <c r="Q190" s="1927"/>
      <c r="R190" s="1927"/>
      <c r="S190" s="1927"/>
      <c r="T190" s="1927"/>
      <c r="U190" s="1927"/>
      <c r="V190" s="1927"/>
      <c r="W190" s="1927"/>
      <c r="X190" s="1927"/>
      <c r="Y190" s="1927"/>
      <c r="Z190" s="1927"/>
      <c r="AA190" s="1927"/>
      <c r="AB190" s="1927"/>
      <c r="AC190" s="882"/>
      <c r="AD190" s="1928"/>
      <c r="AE190" s="1928"/>
      <c r="AF190" s="1928"/>
      <c r="AG190" s="1928"/>
      <c r="AH190" s="1928"/>
      <c r="AI190" s="1928"/>
      <c r="AJ190" s="1928"/>
      <c r="AK190" s="645"/>
    </row>
    <row r="191" spans="1:45">
      <c r="A191" s="640"/>
      <c r="B191" s="1927"/>
      <c r="C191" s="1927"/>
      <c r="D191" s="1927"/>
      <c r="E191" s="1927"/>
      <c r="F191" s="1927"/>
      <c r="G191" s="1927"/>
      <c r="H191" s="1927"/>
      <c r="I191" s="1927"/>
      <c r="J191" s="1927"/>
      <c r="K191" s="1927"/>
      <c r="L191" s="1927"/>
      <c r="M191" s="1927"/>
      <c r="N191" s="1927"/>
      <c r="O191" s="1927"/>
      <c r="P191" s="1927"/>
      <c r="Q191" s="1927"/>
      <c r="R191" s="1927"/>
      <c r="S191" s="1927"/>
      <c r="T191" s="1927"/>
      <c r="U191" s="1927"/>
      <c r="V191" s="1927"/>
      <c r="W191" s="1927"/>
      <c r="X191" s="1927"/>
      <c r="Y191" s="1927"/>
      <c r="Z191" s="1927"/>
      <c r="AA191" s="1927"/>
      <c r="AB191" s="1927"/>
      <c r="AC191" s="882"/>
      <c r="AD191" s="1928"/>
      <c r="AE191" s="1928"/>
      <c r="AF191" s="1928"/>
      <c r="AG191" s="1928"/>
      <c r="AH191" s="1928"/>
      <c r="AI191" s="1928"/>
      <c r="AJ191" s="1928"/>
      <c r="AK191" s="645"/>
    </row>
    <row r="192" spans="1:45">
      <c r="A192" s="640"/>
      <c r="B192" s="1927"/>
      <c r="C192" s="1927"/>
      <c r="D192" s="1927"/>
      <c r="E192" s="1927"/>
      <c r="F192" s="1927"/>
      <c r="G192" s="1927"/>
      <c r="H192" s="1927"/>
      <c r="I192" s="1927"/>
      <c r="J192" s="1927"/>
      <c r="K192" s="1927"/>
      <c r="L192" s="1927"/>
      <c r="M192" s="1927"/>
      <c r="N192" s="1927"/>
      <c r="O192" s="1927"/>
      <c r="P192" s="1927"/>
      <c r="Q192" s="1927"/>
      <c r="R192" s="1927"/>
      <c r="S192" s="1927"/>
      <c r="T192" s="1927"/>
      <c r="U192" s="1927"/>
      <c r="V192" s="1927"/>
      <c r="W192" s="1927"/>
      <c r="X192" s="1927"/>
      <c r="Y192" s="1927"/>
      <c r="Z192" s="1927"/>
      <c r="AA192" s="1927"/>
      <c r="AB192" s="1927"/>
      <c r="AC192" s="882"/>
      <c r="AD192" s="1928"/>
      <c r="AE192" s="1928"/>
      <c r="AF192" s="1928"/>
      <c r="AG192" s="1928"/>
      <c r="AH192" s="1928"/>
      <c r="AI192" s="1928"/>
      <c r="AJ192" s="1928"/>
      <c r="AK192" s="645"/>
    </row>
    <row r="193" spans="1:37">
      <c r="A193" s="640"/>
      <c r="B193" s="1927"/>
      <c r="C193" s="1927"/>
      <c r="D193" s="1927"/>
      <c r="E193" s="1927"/>
      <c r="F193" s="1927"/>
      <c r="G193" s="1927"/>
      <c r="H193" s="1927"/>
      <c r="I193" s="1927"/>
      <c r="J193" s="1927"/>
      <c r="K193" s="1927"/>
      <c r="L193" s="1927"/>
      <c r="M193" s="1927"/>
      <c r="N193" s="1927"/>
      <c r="O193" s="1927"/>
      <c r="P193" s="1927"/>
      <c r="Q193" s="1927"/>
      <c r="R193" s="1927"/>
      <c r="S193" s="1927"/>
      <c r="T193" s="1927"/>
      <c r="U193" s="1927"/>
      <c r="V193" s="1927"/>
      <c r="W193" s="1927"/>
      <c r="X193" s="1927"/>
      <c r="Y193" s="1927"/>
      <c r="Z193" s="1927"/>
      <c r="AA193" s="1927"/>
      <c r="AB193" s="1927"/>
      <c r="AC193" s="882"/>
      <c r="AD193" s="1928"/>
      <c r="AE193" s="1928"/>
      <c r="AF193" s="1928"/>
      <c r="AG193" s="1928"/>
      <c r="AH193" s="1928"/>
      <c r="AI193" s="1928"/>
      <c r="AJ193" s="1928"/>
      <c r="AK193" s="645"/>
    </row>
    <row r="194" spans="1:37">
      <c r="A194" s="640"/>
      <c r="B194" s="1927"/>
      <c r="C194" s="1927"/>
      <c r="D194" s="1927"/>
      <c r="E194" s="1927"/>
      <c r="F194" s="1927"/>
      <c r="G194" s="1927"/>
      <c r="H194" s="1927"/>
      <c r="I194" s="1927"/>
      <c r="J194" s="1927"/>
      <c r="K194" s="1927"/>
      <c r="L194" s="1927"/>
      <c r="M194" s="1927"/>
      <c r="N194" s="1927"/>
      <c r="O194" s="1927"/>
      <c r="P194" s="1927"/>
      <c r="Q194" s="1927"/>
      <c r="R194" s="1927"/>
      <c r="S194" s="1927"/>
      <c r="T194" s="1927"/>
      <c r="U194" s="1927"/>
      <c r="V194" s="1927"/>
      <c r="W194" s="1927"/>
      <c r="X194" s="1927"/>
      <c r="Y194" s="1927"/>
      <c r="Z194" s="1927"/>
      <c r="AA194" s="1927"/>
      <c r="AB194" s="1927"/>
      <c r="AC194" s="882"/>
      <c r="AD194" s="1928"/>
      <c r="AE194" s="1928"/>
      <c r="AF194" s="1928"/>
      <c r="AG194" s="1928"/>
      <c r="AH194" s="1928"/>
      <c r="AI194" s="1928"/>
      <c r="AJ194" s="1928"/>
      <c r="AK194" s="645"/>
    </row>
    <row r="195" spans="1:37">
      <c r="A195" s="640"/>
      <c r="B195" s="1927"/>
      <c r="C195" s="1927"/>
      <c r="D195" s="1927"/>
      <c r="E195" s="1927"/>
      <c r="F195" s="1927"/>
      <c r="G195" s="1927"/>
      <c r="H195" s="1927"/>
      <c r="I195" s="1927"/>
      <c r="J195" s="1927"/>
      <c r="K195" s="1927"/>
      <c r="L195" s="1927"/>
      <c r="M195" s="1927"/>
      <c r="N195" s="1927"/>
      <c r="O195" s="1927"/>
      <c r="P195" s="1927"/>
      <c r="Q195" s="1927"/>
      <c r="R195" s="1927"/>
      <c r="S195" s="1927"/>
      <c r="T195" s="1927"/>
      <c r="U195" s="1927"/>
      <c r="V195" s="1927"/>
      <c r="W195" s="1927"/>
      <c r="X195" s="1927"/>
      <c r="Y195" s="1927"/>
      <c r="Z195" s="1927"/>
      <c r="AA195" s="1927"/>
      <c r="AB195" s="1927"/>
      <c r="AC195" s="882"/>
      <c r="AD195" s="1928"/>
      <c r="AE195" s="1928"/>
      <c r="AF195" s="1928"/>
      <c r="AG195" s="1928"/>
      <c r="AH195" s="1928"/>
      <c r="AI195" s="1928"/>
      <c r="AJ195" s="1928"/>
      <c r="AK195" s="645"/>
    </row>
    <row r="196" spans="1:37">
      <c r="A196" s="640"/>
      <c r="B196" s="1927"/>
      <c r="C196" s="1927"/>
      <c r="D196" s="1927"/>
      <c r="E196" s="1927"/>
      <c r="F196" s="1927"/>
      <c r="G196" s="1927"/>
      <c r="H196" s="1927"/>
      <c r="I196" s="1927"/>
      <c r="J196" s="1927"/>
      <c r="K196" s="1927"/>
      <c r="L196" s="1927"/>
      <c r="M196" s="1927"/>
      <c r="N196" s="1927"/>
      <c r="O196" s="1927"/>
      <c r="P196" s="1927"/>
      <c r="Q196" s="1927"/>
      <c r="R196" s="1927"/>
      <c r="S196" s="1927"/>
      <c r="T196" s="1927"/>
      <c r="U196" s="1927"/>
      <c r="V196" s="1927"/>
      <c r="W196" s="1927"/>
      <c r="X196" s="1927"/>
      <c r="Y196" s="1927"/>
      <c r="Z196" s="1927"/>
      <c r="AA196" s="1927"/>
      <c r="AB196" s="1927"/>
      <c r="AC196" s="882"/>
      <c r="AD196" s="1928"/>
      <c r="AE196" s="1928"/>
      <c r="AF196" s="1928"/>
      <c r="AG196" s="1928"/>
      <c r="AH196" s="1928"/>
      <c r="AI196" s="1928"/>
      <c r="AJ196" s="1928"/>
      <c r="AK196" s="645"/>
    </row>
    <row r="197" spans="1:37">
      <c r="A197" s="640"/>
      <c r="B197" s="1927"/>
      <c r="C197" s="1927"/>
      <c r="D197" s="1927"/>
      <c r="E197" s="1927"/>
      <c r="F197" s="1927"/>
      <c r="G197" s="1927"/>
      <c r="H197" s="1927"/>
      <c r="I197" s="1927"/>
      <c r="J197" s="1927"/>
      <c r="K197" s="1927"/>
      <c r="L197" s="1927"/>
      <c r="M197" s="1927"/>
      <c r="N197" s="1927"/>
      <c r="O197" s="1927"/>
      <c r="P197" s="1927"/>
      <c r="Q197" s="1927"/>
      <c r="R197" s="1927"/>
      <c r="S197" s="1927"/>
      <c r="T197" s="1927"/>
      <c r="U197" s="1927"/>
      <c r="V197" s="1927"/>
      <c r="W197" s="1927"/>
      <c r="X197" s="1927"/>
      <c r="Y197" s="1927"/>
      <c r="Z197" s="1927"/>
      <c r="AA197" s="1927"/>
      <c r="AB197" s="1927"/>
      <c r="AC197" s="882"/>
      <c r="AD197" s="1928"/>
      <c r="AE197" s="1928"/>
      <c r="AF197" s="1928"/>
      <c r="AG197" s="1928"/>
      <c r="AH197" s="1928"/>
      <c r="AI197" s="1928"/>
      <c r="AJ197" s="1928"/>
      <c r="AK197" s="645"/>
    </row>
    <row r="198" spans="1:37">
      <c r="A198" s="640"/>
      <c r="B198" s="2087" t="s">
        <v>1804</v>
      </c>
      <c r="C198" s="2087"/>
      <c r="D198" s="2087"/>
      <c r="E198" s="2087"/>
      <c r="F198" s="2087"/>
      <c r="G198" s="2087"/>
      <c r="H198" s="2087"/>
      <c r="I198" s="2087"/>
      <c r="J198" s="2087"/>
      <c r="K198" s="2087"/>
      <c r="L198" s="2087"/>
      <c r="M198" s="2087"/>
      <c r="N198" s="2087"/>
      <c r="O198" s="2087"/>
      <c r="P198" s="2087"/>
      <c r="Q198" s="2087"/>
      <c r="R198" s="2087"/>
      <c r="S198" s="2087"/>
      <c r="T198" s="2087"/>
      <c r="U198" s="2087"/>
      <c r="V198" s="2087"/>
      <c r="W198" s="2087"/>
      <c r="X198" s="2087"/>
      <c r="Y198" s="2087"/>
      <c r="Z198" s="2087"/>
      <c r="AA198" s="2087"/>
      <c r="AB198" s="2087"/>
      <c r="AC198" s="571"/>
      <c r="AD198" s="1955">
        <f>AB249</f>
        <v>0</v>
      </c>
      <c r="AE198" s="1955"/>
      <c r="AF198" s="1955"/>
      <c r="AG198" s="1955"/>
      <c r="AH198" s="1955"/>
      <c r="AI198" s="1955"/>
      <c r="AJ198" s="1955"/>
      <c r="AK198" s="645"/>
    </row>
    <row r="199" spans="1:37">
      <c r="A199" s="640"/>
      <c r="B199" s="2085" t="s">
        <v>1767</v>
      </c>
      <c r="C199" s="2085"/>
      <c r="D199" s="2085"/>
      <c r="E199" s="2085"/>
      <c r="F199" s="2085"/>
      <c r="G199" s="2085"/>
      <c r="H199" s="2085"/>
      <c r="I199" s="2085"/>
      <c r="J199" s="2085"/>
      <c r="K199" s="2085"/>
      <c r="L199" s="2085"/>
      <c r="M199" s="2085"/>
      <c r="N199" s="2085"/>
      <c r="O199" s="2085"/>
      <c r="P199" s="2085"/>
      <c r="Q199" s="2085"/>
      <c r="R199" s="2085"/>
      <c r="S199" s="2085"/>
      <c r="T199" s="2085"/>
      <c r="U199" s="2085"/>
      <c r="V199" s="2085"/>
      <c r="W199" s="2085"/>
      <c r="X199" s="2085"/>
      <c r="Y199" s="2085"/>
      <c r="Z199" s="2085"/>
      <c r="AA199" s="2085"/>
      <c r="AB199" s="2085"/>
      <c r="AC199" s="882"/>
      <c r="AD199" s="1956">
        <f>'Sources and Uses Budget'!B15</f>
        <v>0</v>
      </c>
      <c r="AE199" s="1956"/>
      <c r="AF199" s="1956"/>
      <c r="AG199" s="1956"/>
      <c r="AH199" s="1956"/>
      <c r="AI199" s="1956"/>
      <c r="AJ199" s="195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0">
        <f>SUM(AD188:AJ198)-AD199</f>
        <v>6800000</v>
      </c>
      <c r="AE200" s="1960"/>
      <c r="AF200" s="1960"/>
      <c r="AG200" s="1960"/>
      <c r="AH200" s="1960"/>
      <c r="AI200" s="1960"/>
      <c r="AJ200" s="196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1" t="s">
        <v>1784</v>
      </c>
      <c r="J211" s="1931"/>
      <c r="K211" s="1931"/>
      <c r="L211" s="571"/>
      <c r="M211" s="571"/>
      <c r="N211" s="571"/>
      <c r="O211" s="571"/>
      <c r="P211" s="571"/>
      <c r="Q211" s="571"/>
      <c r="R211" s="571"/>
      <c r="S211" s="571"/>
      <c r="T211" s="2113" t="s">
        <v>1778</v>
      </c>
      <c r="U211" s="2113"/>
      <c r="V211" s="2113"/>
      <c r="W211" s="2113"/>
      <c r="X211" s="2113"/>
      <c r="Y211" s="2113"/>
      <c r="Z211" s="885"/>
      <c r="AA211" s="524"/>
      <c r="AB211" s="1926" t="s">
        <v>1779</v>
      </c>
      <c r="AC211" s="1926"/>
      <c r="AD211" s="1926"/>
      <c r="AE211" s="1926"/>
      <c r="AF211" s="1926"/>
      <c r="AG211" s="1926"/>
      <c r="AH211" s="863"/>
      <c r="AI211" s="863"/>
      <c r="AJ211" s="863"/>
      <c r="AK211" s="645"/>
    </row>
    <row r="212" spans="1:37">
      <c r="A212" s="640"/>
      <c r="B212" s="1929" t="s">
        <v>1764</v>
      </c>
      <c r="C212" s="1929"/>
      <c r="D212" s="1929"/>
      <c r="E212" s="1929"/>
      <c r="F212" s="1929"/>
      <c r="G212" s="1929"/>
      <c r="I212" s="1930" t="s">
        <v>1785</v>
      </c>
      <c r="J212" s="1930"/>
      <c r="K212" s="1930"/>
      <c r="L212" s="1045"/>
      <c r="N212" s="1936" t="s">
        <v>1780</v>
      </c>
      <c r="O212" s="1936"/>
      <c r="P212" s="1936"/>
      <c r="Q212" s="1936"/>
      <c r="R212" s="1936"/>
      <c r="T212" s="1936" t="s">
        <v>1781</v>
      </c>
      <c r="U212" s="1936"/>
      <c r="V212" s="1936"/>
      <c r="W212" s="1936"/>
      <c r="X212" s="1936"/>
      <c r="Y212" s="1936"/>
      <c r="Z212" s="886"/>
      <c r="AA212" s="524"/>
      <c r="AB212" s="2088" t="s">
        <v>1782</v>
      </c>
      <c r="AC212" s="2088"/>
      <c r="AD212" s="2088"/>
      <c r="AE212" s="2088"/>
      <c r="AF212" s="2088"/>
      <c r="AG212" s="2088"/>
      <c r="AH212" s="863"/>
      <c r="AI212" s="863"/>
      <c r="AJ212" s="863"/>
      <c r="AK212" s="645"/>
    </row>
    <row r="213" spans="1:37">
      <c r="A213" s="640"/>
      <c r="B213" s="1933" t="s">
        <v>1327</v>
      </c>
      <c r="C213" s="1933"/>
      <c r="D213" s="1933"/>
      <c r="E213" s="1933"/>
      <c r="F213" s="1933"/>
      <c r="G213" s="1933"/>
      <c r="H213" s="888"/>
      <c r="I213" s="1932"/>
      <c r="J213" s="1932"/>
      <c r="K213" s="1932"/>
      <c r="L213" s="1045"/>
      <c r="N213" s="1937"/>
      <c r="O213" s="1937"/>
      <c r="P213" s="1937"/>
      <c r="Q213" s="1937"/>
      <c r="R213" s="1937"/>
      <c r="T213" s="2086"/>
      <c r="U213" s="2086"/>
      <c r="V213" s="2086"/>
      <c r="W213" s="2086"/>
      <c r="X213" s="2086"/>
      <c r="Y213" s="2086"/>
      <c r="Z213" s="887"/>
      <c r="AA213" s="887"/>
      <c r="AB213" s="1934">
        <f t="shared" ref="AB213:AB222" si="0">MAX(($T213-$N213)*$I213*12,0)</f>
        <v>0</v>
      </c>
      <c r="AC213" s="1934"/>
      <c r="AD213" s="1934"/>
      <c r="AE213" s="1934"/>
      <c r="AF213" s="1934"/>
      <c r="AG213" s="1934"/>
      <c r="AH213" s="863"/>
      <c r="AI213" s="863"/>
      <c r="AJ213" s="863"/>
      <c r="AK213" s="645"/>
    </row>
    <row r="214" spans="1:37">
      <c r="A214" s="640"/>
      <c r="B214" s="1933" t="s">
        <v>1327</v>
      </c>
      <c r="C214" s="1933"/>
      <c r="D214" s="1933"/>
      <c r="E214" s="1933"/>
      <c r="F214" s="1933"/>
      <c r="G214" s="1933"/>
      <c r="I214" s="1932"/>
      <c r="J214" s="1932"/>
      <c r="K214" s="1932"/>
      <c r="L214" s="1045"/>
      <c r="N214" s="1937"/>
      <c r="O214" s="1937"/>
      <c r="P214" s="1937"/>
      <c r="Q214" s="1937"/>
      <c r="R214" s="1937"/>
      <c r="T214" s="2086"/>
      <c r="U214" s="2086"/>
      <c r="V214" s="2086"/>
      <c r="W214" s="2086"/>
      <c r="X214" s="2086"/>
      <c r="Y214" s="2086"/>
      <c r="Z214" s="887"/>
      <c r="AA214" s="887"/>
      <c r="AB214" s="1934">
        <f t="shared" si="0"/>
        <v>0</v>
      </c>
      <c r="AC214" s="1934"/>
      <c r="AD214" s="1934"/>
      <c r="AE214" s="1934"/>
      <c r="AF214" s="1934"/>
      <c r="AG214" s="1934"/>
      <c r="AH214" s="863"/>
      <c r="AI214" s="863"/>
      <c r="AJ214" s="863"/>
      <c r="AK214" s="645"/>
    </row>
    <row r="215" spans="1:37">
      <c r="A215" s="640"/>
      <c r="B215" s="1933" t="s">
        <v>1327</v>
      </c>
      <c r="C215" s="1933"/>
      <c r="D215" s="1933"/>
      <c r="E215" s="1933"/>
      <c r="F215" s="1933"/>
      <c r="G215" s="1933"/>
      <c r="I215" s="1932"/>
      <c r="J215" s="1932"/>
      <c r="K215" s="1932"/>
      <c r="L215" s="1045"/>
      <c r="N215" s="1937"/>
      <c r="O215" s="1937"/>
      <c r="P215" s="1937"/>
      <c r="Q215" s="1937"/>
      <c r="R215" s="1937"/>
      <c r="T215" s="2086"/>
      <c r="U215" s="2086"/>
      <c r="V215" s="2086"/>
      <c r="W215" s="2086"/>
      <c r="X215" s="2086"/>
      <c r="Y215" s="2086"/>
      <c r="Z215" s="887"/>
      <c r="AA215" s="887"/>
      <c r="AB215" s="1934">
        <f t="shared" si="0"/>
        <v>0</v>
      </c>
      <c r="AC215" s="1934"/>
      <c r="AD215" s="1934"/>
      <c r="AE215" s="1934"/>
      <c r="AF215" s="1934"/>
      <c r="AG215" s="1934"/>
      <c r="AH215" s="863"/>
      <c r="AI215" s="863"/>
      <c r="AJ215" s="863"/>
      <c r="AK215" s="645"/>
    </row>
    <row r="216" spans="1:37">
      <c r="A216" s="640"/>
      <c r="B216" s="1933" t="s">
        <v>1327</v>
      </c>
      <c r="C216" s="1933"/>
      <c r="D216" s="1933"/>
      <c r="E216" s="1933"/>
      <c r="F216" s="1933"/>
      <c r="G216" s="1933"/>
      <c r="I216" s="1932"/>
      <c r="J216" s="1932"/>
      <c r="K216" s="1932"/>
      <c r="L216" s="1045"/>
      <c r="N216" s="1937"/>
      <c r="O216" s="1937"/>
      <c r="P216" s="1937"/>
      <c r="Q216" s="1937"/>
      <c r="R216" s="1937"/>
      <c r="T216" s="2086"/>
      <c r="U216" s="2086"/>
      <c r="V216" s="2086"/>
      <c r="W216" s="2086"/>
      <c r="X216" s="2086"/>
      <c r="Y216" s="2086"/>
      <c r="Z216" s="887"/>
      <c r="AA216" s="887"/>
      <c r="AB216" s="1934">
        <f t="shared" si="0"/>
        <v>0</v>
      </c>
      <c r="AC216" s="1934"/>
      <c r="AD216" s="1934"/>
      <c r="AE216" s="1934"/>
      <c r="AF216" s="1934"/>
      <c r="AG216" s="1934"/>
      <c r="AH216" s="863"/>
      <c r="AI216" s="863"/>
      <c r="AJ216" s="863"/>
      <c r="AK216" s="645"/>
    </row>
    <row r="217" spans="1:37">
      <c r="A217" s="640"/>
      <c r="B217" s="1933" t="s">
        <v>1327</v>
      </c>
      <c r="C217" s="1933"/>
      <c r="D217" s="1933"/>
      <c r="E217" s="1933"/>
      <c r="F217" s="1933"/>
      <c r="G217" s="1933"/>
      <c r="I217" s="1932"/>
      <c r="J217" s="1932"/>
      <c r="K217" s="1932"/>
      <c r="L217" s="1052"/>
      <c r="N217" s="1937"/>
      <c r="O217" s="1937"/>
      <c r="P217" s="1937"/>
      <c r="Q217" s="1937"/>
      <c r="R217" s="1937"/>
      <c r="T217" s="2086"/>
      <c r="U217" s="2086"/>
      <c r="V217" s="2086"/>
      <c r="W217" s="2086"/>
      <c r="X217" s="2086"/>
      <c r="Y217" s="2086"/>
      <c r="Z217" s="887"/>
      <c r="AA217" s="887"/>
      <c r="AB217" s="1934">
        <f t="shared" si="0"/>
        <v>0</v>
      </c>
      <c r="AC217" s="1934"/>
      <c r="AD217" s="1934"/>
      <c r="AE217" s="1934"/>
      <c r="AF217" s="1934"/>
      <c r="AG217" s="1934"/>
      <c r="AH217" s="863"/>
      <c r="AI217" s="863"/>
      <c r="AJ217" s="863"/>
      <c r="AK217" s="645"/>
    </row>
    <row r="218" spans="1:37">
      <c r="A218" s="640"/>
      <c r="B218" s="1933" t="s">
        <v>1327</v>
      </c>
      <c r="C218" s="1933"/>
      <c r="D218" s="1933"/>
      <c r="E218" s="1933"/>
      <c r="F218" s="1933"/>
      <c r="G218" s="1933"/>
      <c r="I218" s="1932"/>
      <c r="J218" s="1932"/>
      <c r="K218" s="1932"/>
      <c r="L218" s="1052"/>
      <c r="N218" s="1937"/>
      <c r="O218" s="1937"/>
      <c r="P218" s="1937"/>
      <c r="Q218" s="1937"/>
      <c r="R218" s="1937"/>
      <c r="T218" s="2086"/>
      <c r="U218" s="2086"/>
      <c r="V218" s="2086"/>
      <c r="W218" s="2086"/>
      <c r="X218" s="2086"/>
      <c r="Y218" s="2086"/>
      <c r="Z218" s="887"/>
      <c r="AA218" s="887"/>
      <c r="AB218" s="1934">
        <f t="shared" si="0"/>
        <v>0</v>
      </c>
      <c r="AC218" s="1934"/>
      <c r="AD218" s="1934"/>
      <c r="AE218" s="1934"/>
      <c r="AF218" s="1934"/>
      <c r="AG218" s="1934"/>
      <c r="AH218" s="863"/>
      <c r="AI218" s="863"/>
      <c r="AJ218" s="863"/>
      <c r="AK218" s="645"/>
    </row>
    <row r="219" spans="1:37">
      <c r="A219" s="640"/>
      <c r="B219" s="1933" t="s">
        <v>1327</v>
      </c>
      <c r="C219" s="1933"/>
      <c r="D219" s="1933"/>
      <c r="E219" s="1933"/>
      <c r="F219" s="1933"/>
      <c r="G219" s="1933"/>
      <c r="I219" s="1932"/>
      <c r="J219" s="1932"/>
      <c r="K219" s="1932"/>
      <c r="L219" s="1052"/>
      <c r="N219" s="1937"/>
      <c r="O219" s="1937"/>
      <c r="P219" s="1937"/>
      <c r="Q219" s="1937"/>
      <c r="R219" s="1937"/>
      <c r="T219" s="2086"/>
      <c r="U219" s="2086"/>
      <c r="V219" s="2086"/>
      <c r="W219" s="2086"/>
      <c r="X219" s="2086"/>
      <c r="Y219" s="2086"/>
      <c r="Z219" s="887"/>
      <c r="AA219" s="887"/>
      <c r="AB219" s="1934">
        <f t="shared" si="0"/>
        <v>0</v>
      </c>
      <c r="AC219" s="1934"/>
      <c r="AD219" s="1934"/>
      <c r="AE219" s="1934"/>
      <c r="AF219" s="1934"/>
      <c r="AG219" s="1934"/>
      <c r="AH219" s="863"/>
      <c r="AI219" s="863"/>
      <c r="AJ219" s="863"/>
      <c r="AK219" s="645"/>
    </row>
    <row r="220" spans="1:37">
      <c r="A220" s="640"/>
      <c r="B220" s="1933" t="s">
        <v>1327</v>
      </c>
      <c r="C220" s="1933"/>
      <c r="D220" s="1933"/>
      <c r="E220" s="1933"/>
      <c r="F220" s="1933"/>
      <c r="G220" s="1933"/>
      <c r="I220" s="1932"/>
      <c r="J220" s="1932"/>
      <c r="K220" s="1932"/>
      <c r="L220" s="1052"/>
      <c r="N220" s="1937"/>
      <c r="O220" s="1937"/>
      <c r="P220" s="1937"/>
      <c r="Q220" s="1937"/>
      <c r="R220" s="1937"/>
      <c r="T220" s="2086"/>
      <c r="U220" s="2086"/>
      <c r="V220" s="2086"/>
      <c r="W220" s="2086"/>
      <c r="X220" s="2086"/>
      <c r="Y220" s="2086"/>
      <c r="Z220" s="887"/>
      <c r="AA220" s="887"/>
      <c r="AB220" s="1934">
        <f t="shared" si="0"/>
        <v>0</v>
      </c>
      <c r="AC220" s="1934"/>
      <c r="AD220" s="1934"/>
      <c r="AE220" s="1934"/>
      <c r="AF220" s="1934"/>
      <c r="AG220" s="1934"/>
      <c r="AH220" s="863"/>
      <c r="AI220" s="863"/>
      <c r="AJ220" s="863"/>
      <c r="AK220" s="645"/>
    </row>
    <row r="221" spans="1:37">
      <c r="A221" s="640"/>
      <c r="B221" s="1933" t="s">
        <v>1327</v>
      </c>
      <c r="C221" s="1933"/>
      <c r="D221" s="1933"/>
      <c r="E221" s="1933"/>
      <c r="F221" s="1933"/>
      <c r="G221" s="1933"/>
      <c r="I221" s="1932"/>
      <c r="J221" s="1932"/>
      <c r="K221" s="1932"/>
      <c r="L221" s="1052"/>
      <c r="N221" s="1937"/>
      <c r="O221" s="1937"/>
      <c r="P221" s="1937"/>
      <c r="Q221" s="1937"/>
      <c r="R221" s="1937"/>
      <c r="T221" s="2086"/>
      <c r="U221" s="2086"/>
      <c r="V221" s="2086"/>
      <c r="W221" s="2086"/>
      <c r="X221" s="2086"/>
      <c r="Y221" s="2086"/>
      <c r="Z221" s="887"/>
      <c r="AA221" s="887"/>
      <c r="AB221" s="1934">
        <f t="shared" si="0"/>
        <v>0</v>
      </c>
      <c r="AC221" s="1934"/>
      <c r="AD221" s="1934"/>
      <c r="AE221" s="1934"/>
      <c r="AF221" s="1934"/>
      <c r="AG221" s="1934"/>
      <c r="AH221" s="863"/>
      <c r="AI221" s="863"/>
      <c r="AJ221" s="863"/>
      <c r="AK221" s="645"/>
    </row>
    <row r="222" spans="1:37">
      <c r="A222" s="640"/>
      <c r="B222" s="1933" t="s">
        <v>1327</v>
      </c>
      <c r="C222" s="1933"/>
      <c r="D222" s="1933"/>
      <c r="E222" s="1933"/>
      <c r="F222" s="1933"/>
      <c r="G222" s="1933"/>
      <c r="I222" s="1935"/>
      <c r="J222" s="1935"/>
      <c r="K222" s="1935"/>
      <c r="L222" s="1052"/>
      <c r="N222" s="1937"/>
      <c r="O222" s="1937"/>
      <c r="P222" s="1937"/>
      <c r="Q222" s="1937"/>
      <c r="R222" s="1937"/>
      <c r="T222" s="2086"/>
      <c r="U222" s="2086"/>
      <c r="V222" s="2086"/>
      <c r="W222" s="2086"/>
      <c r="X222" s="2086"/>
      <c r="Y222" s="2086"/>
      <c r="Z222" s="887"/>
      <c r="AA222" s="887"/>
      <c r="AB222" s="2084">
        <f t="shared" si="0"/>
        <v>0</v>
      </c>
      <c r="AC222" s="2084"/>
      <c r="AD222" s="2084"/>
      <c r="AE222" s="2084"/>
      <c r="AF222" s="2084"/>
      <c r="AG222" s="208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34">
        <f>SUM(AB213:AB222)</f>
        <v>0</v>
      </c>
      <c r="AC223" s="1934"/>
      <c r="AD223" s="1934"/>
      <c r="AE223" s="1934"/>
      <c r="AF223" s="1934"/>
      <c r="AG223" s="193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89"/>
      <c r="AC229" s="2089"/>
      <c r="AD229" s="2089"/>
      <c r="AE229" s="2089"/>
      <c r="AF229" s="2089"/>
      <c r="AG229" s="2089"/>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89"/>
      <c r="AC232" s="2089"/>
      <c r="AD232" s="2089"/>
      <c r="AE232" s="2089"/>
      <c r="AF232" s="2089"/>
      <c r="AG232" s="2089"/>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2"/>
      <c r="AC233" s="2112"/>
      <c r="AD233" s="2112"/>
      <c r="AE233" s="2112"/>
      <c r="AF233" s="2112"/>
      <c r="AG233" s="2112"/>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5">
        <f>IFERROR(AB232/AB233,0)</f>
        <v>0</v>
      </c>
      <c r="AC234" s="2095"/>
      <c r="AD234" s="2095"/>
      <c r="AE234" s="2095"/>
      <c r="AF234" s="2095"/>
      <c r="AG234" s="209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4">
        <f>MAX(AB229,AB234)</f>
        <v>0</v>
      </c>
      <c r="AC236" s="2084"/>
      <c r="AD236" s="2084"/>
      <c r="AE236" s="2084"/>
      <c r="AF236" s="2084"/>
      <c r="AG236" s="208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4">
        <f>AB223+AB236</f>
        <v>0</v>
      </c>
      <c r="AC239" s="1934"/>
      <c r="AD239" s="1934"/>
      <c r="AE239" s="1934"/>
      <c r="AF239" s="1934"/>
      <c r="AG239" s="1934"/>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4">
        <v>0.05</v>
      </c>
      <c r="AC240" s="1964"/>
      <c r="AD240" s="1964"/>
      <c r="AE240" s="1964"/>
      <c r="AF240" s="1964"/>
      <c r="AG240" s="1964"/>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5">
        <f>AB239-(AB239*AB240)</f>
        <v>0</v>
      </c>
      <c r="AC241" s="1965"/>
      <c r="AD241" s="1965"/>
      <c r="AE241" s="1965"/>
      <c r="AF241" s="1965"/>
      <c r="AG241" s="1965"/>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4">
        <f>AB241/AB247</f>
        <v>0</v>
      </c>
      <c r="AC243" s="1934"/>
      <c r="AD243" s="1934"/>
      <c r="AE243" s="1934"/>
      <c r="AF243" s="1934"/>
      <c r="AG243" s="193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6">
        <v>15</v>
      </c>
      <c r="AC245" s="1926"/>
      <c r="AD245" s="1926"/>
      <c r="AE245" s="1926"/>
      <c r="AF245" s="1926"/>
      <c r="AG245" s="1926"/>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6">
        <v>0.04</v>
      </c>
      <c r="AC246" s="1966"/>
      <c r="AD246" s="1966"/>
      <c r="AE246" s="1966"/>
      <c r="AF246" s="1966"/>
      <c r="AG246" s="1966"/>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8">
        <v>1.1499999999999999</v>
      </c>
      <c r="AC247" s="1938"/>
      <c r="AD247" s="1938"/>
      <c r="AE247" s="1938"/>
      <c r="AF247" s="1938"/>
      <c r="AG247" s="193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7">
        <f>PV(AB246/12,AB245*12,-AB243/12, ,0)</f>
        <v>0</v>
      </c>
      <c r="AC249" s="1958"/>
      <c r="AD249" s="1958"/>
      <c r="AE249" s="1958"/>
      <c r="AF249" s="1958"/>
      <c r="AG249" s="195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1">
        <f>IFERROR(('Sources and Uses Budget'!D105/'Sources and Uses Budget'!B105),0)</f>
        <v>0</v>
      </c>
      <c r="AC255" s="1962"/>
      <c r="AD255" s="1962"/>
      <c r="AE255" s="1962"/>
      <c r="AF255" s="1962"/>
      <c r="AG255" s="196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1">
        <f>AD200*(1-AB255)</f>
        <v>6800000</v>
      </c>
      <c r="AH257" s="1951"/>
      <c r="AI257" s="1951"/>
      <c r="AJ257" s="1951"/>
      <c r="AK257" s="1951"/>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1">
        <f>'Sources and Uses Budget'!C105</f>
        <v>47550835</v>
      </c>
      <c r="AH258" s="1951"/>
      <c r="AI258" s="1951"/>
      <c r="AJ258" s="1951"/>
      <c r="AK258" s="195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2">
        <f>ROUNDDOWN(IF(AND(C281="Yes",AK78=10),((AG257*2)/AG258),AG257/AG258),2)</f>
        <v>0.28000000000000003</v>
      </c>
      <c r="AH259" s="1952"/>
      <c r="AI259" s="1952"/>
      <c r="AJ259" s="1952"/>
      <c r="AK259" s="1952"/>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53">
        <f>IFERROR(IF(AG259=0,0,IF((AG259*100)&gt;8,8,(AG259*100))),0)</f>
        <v>8</v>
      </c>
      <c r="AL262" s="1953"/>
      <c r="AM262" s="1954"/>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5" t="s">
        <v>554</v>
      </c>
      <c r="D267" s="1945"/>
      <c r="E267" s="582"/>
      <c r="F267" s="2098" t="s">
        <v>2422</v>
      </c>
      <c r="G267" s="2099"/>
      <c r="H267" s="2099"/>
      <c r="I267" s="2099"/>
      <c r="J267" s="2099"/>
      <c r="K267" s="2099"/>
      <c r="L267" s="2099"/>
      <c r="M267" s="2099"/>
      <c r="N267" s="2099"/>
      <c r="O267" s="2099"/>
      <c r="P267" s="2099"/>
      <c r="Q267" s="2099"/>
      <c r="R267" s="2099"/>
      <c r="S267" s="2099"/>
      <c r="T267" s="2099"/>
      <c r="U267" s="2099"/>
      <c r="V267" s="2099"/>
      <c r="W267" s="2099"/>
      <c r="X267" s="2099"/>
      <c r="Y267" s="2099"/>
      <c r="Z267" s="2099"/>
      <c r="AA267" s="2099"/>
      <c r="AB267" s="2099"/>
      <c r="AC267" s="2099"/>
      <c r="AD267" s="2100"/>
      <c r="AE267" s="585"/>
      <c r="AF267" s="670"/>
      <c r="AG267" s="1946" t="s">
        <v>1535</v>
      </c>
      <c r="AH267" s="1946"/>
      <c r="AI267" s="1946"/>
      <c r="AJ267" s="1946"/>
      <c r="AK267" s="585"/>
      <c r="AL267" s="585"/>
      <c r="AM267" s="585"/>
      <c r="AO267" s="585"/>
    </row>
    <row r="268" spans="1:52" ht="13.7" customHeight="1">
      <c r="A268" s="585"/>
      <c r="B268" s="631"/>
      <c r="C268" s="671"/>
      <c r="D268" s="585"/>
      <c r="E268" s="582"/>
      <c r="F268" s="2101"/>
      <c r="G268" s="2102"/>
      <c r="H268" s="2102"/>
      <c r="I268" s="2102"/>
      <c r="J268" s="2102"/>
      <c r="K268" s="2102"/>
      <c r="L268" s="2102"/>
      <c r="M268" s="2102"/>
      <c r="N268" s="2102"/>
      <c r="O268" s="2102"/>
      <c r="P268" s="2102"/>
      <c r="Q268" s="2102"/>
      <c r="R268" s="2102"/>
      <c r="S268" s="2102"/>
      <c r="T268" s="2102"/>
      <c r="U268" s="2102"/>
      <c r="V268" s="2102"/>
      <c r="W268" s="2102"/>
      <c r="X268" s="2102"/>
      <c r="Y268" s="2102"/>
      <c r="Z268" s="2102"/>
      <c r="AA268" s="2102"/>
      <c r="AB268" s="2102"/>
      <c r="AC268" s="2102"/>
      <c r="AD268" s="2103"/>
      <c r="AE268" s="585"/>
      <c r="AF268" s="670"/>
      <c r="AG268" s="670"/>
      <c r="AH268" s="670"/>
      <c r="AI268" s="670"/>
      <c r="AJ268" s="585"/>
      <c r="AK268" s="585"/>
      <c r="AL268" s="585"/>
      <c r="AM268" s="585"/>
      <c r="AO268" s="585"/>
    </row>
    <row r="269" spans="1:52">
      <c r="A269" s="585"/>
      <c r="B269" s="631"/>
      <c r="C269" s="671"/>
      <c r="D269" s="585"/>
      <c r="E269" s="582"/>
      <c r="F269" s="2101"/>
      <c r="G269" s="2102"/>
      <c r="H269" s="2102"/>
      <c r="I269" s="2102"/>
      <c r="J269" s="2102"/>
      <c r="K269" s="2102"/>
      <c r="L269" s="2102"/>
      <c r="M269" s="2102"/>
      <c r="N269" s="2102"/>
      <c r="O269" s="2102"/>
      <c r="P269" s="2102"/>
      <c r="Q269" s="2102"/>
      <c r="R269" s="2102"/>
      <c r="S269" s="2102"/>
      <c r="T269" s="2102"/>
      <c r="U269" s="2102"/>
      <c r="V269" s="2102"/>
      <c r="W269" s="2102"/>
      <c r="X269" s="2102"/>
      <c r="Y269" s="2102"/>
      <c r="Z269" s="2102"/>
      <c r="AA269" s="2102"/>
      <c r="AB269" s="2102"/>
      <c r="AC269" s="2102"/>
      <c r="AD269" s="2103"/>
      <c r="AE269" s="585"/>
      <c r="AF269" s="670"/>
      <c r="AG269" s="670"/>
      <c r="AH269" s="670"/>
      <c r="AI269" s="670"/>
      <c r="AJ269" s="585"/>
      <c r="AK269" s="585"/>
      <c r="AL269" s="585"/>
      <c r="AM269" s="585"/>
      <c r="AO269" s="585"/>
      <c r="AP269" s="672"/>
    </row>
    <row r="270" spans="1:52">
      <c r="A270" s="585"/>
      <c r="B270" s="631"/>
      <c r="C270" s="671"/>
      <c r="D270" s="585"/>
      <c r="E270" s="582"/>
      <c r="F270" s="2101"/>
      <c r="G270" s="2102"/>
      <c r="H270" s="2102"/>
      <c r="I270" s="2102"/>
      <c r="J270" s="2102"/>
      <c r="K270" s="2102"/>
      <c r="L270" s="2102"/>
      <c r="M270" s="2102"/>
      <c r="N270" s="2102"/>
      <c r="O270" s="2102"/>
      <c r="P270" s="2102"/>
      <c r="Q270" s="2102"/>
      <c r="R270" s="2102"/>
      <c r="S270" s="2102"/>
      <c r="T270" s="2102"/>
      <c r="U270" s="2102"/>
      <c r="V270" s="2102"/>
      <c r="W270" s="2102"/>
      <c r="X270" s="2102"/>
      <c r="Y270" s="2102"/>
      <c r="Z270" s="2102"/>
      <c r="AA270" s="2102"/>
      <c r="AB270" s="2102"/>
      <c r="AC270" s="2102"/>
      <c r="AD270" s="2103"/>
      <c r="AE270" s="585"/>
      <c r="AF270" s="670"/>
      <c r="AG270" s="670"/>
      <c r="AH270" s="670"/>
      <c r="AI270" s="670"/>
      <c r="AJ270" s="585"/>
      <c r="AK270" s="585"/>
      <c r="AL270" s="585"/>
      <c r="AM270" s="585"/>
      <c r="AO270" s="585"/>
      <c r="AP270" s="672"/>
    </row>
    <row r="271" spans="1:52" ht="13.7" customHeight="1">
      <c r="A271" s="585"/>
      <c r="B271" s="631"/>
      <c r="C271" s="1947"/>
      <c r="D271" s="1947"/>
      <c r="E271" s="582"/>
      <c r="F271" s="2104"/>
      <c r="G271" s="2105"/>
      <c r="H271" s="2105"/>
      <c r="I271" s="2105"/>
      <c r="J271" s="2105"/>
      <c r="K271" s="2105"/>
      <c r="L271" s="2105"/>
      <c r="M271" s="2105"/>
      <c r="N271" s="2105"/>
      <c r="O271" s="2105"/>
      <c r="P271" s="2105"/>
      <c r="Q271" s="2105"/>
      <c r="R271" s="2105"/>
      <c r="S271" s="2105"/>
      <c r="T271" s="2105"/>
      <c r="U271" s="2105"/>
      <c r="V271" s="2105"/>
      <c r="W271" s="2105"/>
      <c r="X271" s="2105"/>
      <c r="Y271" s="2105"/>
      <c r="Z271" s="2105"/>
      <c r="AA271" s="2105"/>
      <c r="AB271" s="2105"/>
      <c r="AC271" s="2105"/>
      <c r="AD271" s="2106"/>
      <c r="AE271" s="585"/>
      <c r="AF271" s="670"/>
      <c r="AG271" s="1946"/>
      <c r="AH271" s="1946"/>
      <c r="AI271" s="1946"/>
      <c r="AJ271" s="1946"/>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53">
        <f>IF($C$267="yes",10,0)</f>
        <v>10</v>
      </c>
      <c r="AL274" s="1953"/>
      <c r="AM274" s="1954"/>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4" t="s">
        <v>1554</v>
      </c>
      <c r="B281" s="1644"/>
      <c r="C281" s="1942" t="s">
        <v>554</v>
      </c>
      <c r="D281" s="1945"/>
      <c r="E281" s="582"/>
      <c r="F281" s="1973" t="s">
        <v>1555</v>
      </c>
      <c r="G281" s="1974"/>
      <c r="H281" s="1974"/>
      <c r="I281" s="1974"/>
      <c r="J281" s="1974"/>
      <c r="K281" s="1974"/>
      <c r="L281" s="1974"/>
      <c r="M281" s="1974"/>
      <c r="N281" s="1974"/>
      <c r="O281" s="1974"/>
      <c r="P281" s="1974"/>
      <c r="Q281" s="1974"/>
      <c r="R281" s="1974"/>
      <c r="S281" s="1974"/>
      <c r="T281" s="1974"/>
      <c r="U281" s="1974"/>
      <c r="V281" s="1974"/>
      <c r="W281" s="1974"/>
      <c r="X281" s="1974"/>
      <c r="Y281" s="1974"/>
      <c r="Z281" s="1974"/>
      <c r="AA281" s="1974"/>
      <c r="AB281" s="1974"/>
      <c r="AC281" s="1974"/>
      <c r="AD281" s="1975"/>
      <c r="AE281" s="677"/>
      <c r="AF281" s="585"/>
      <c r="AG281" s="1976" t="s">
        <v>2415</v>
      </c>
      <c r="AH281" s="1976"/>
      <c r="AI281" s="1976"/>
      <c r="AJ281" s="1976"/>
      <c r="AK281" s="1976"/>
      <c r="AL281" s="585"/>
      <c r="AM281" s="585"/>
      <c r="AN281" s="73"/>
      <c r="AO281" s="14"/>
      <c r="AP281" s="30"/>
      <c r="AS281" s="605"/>
      <c r="AT281" s="605"/>
      <c r="AU281" s="605"/>
      <c r="AV281" s="32"/>
      <c r="AW281" s="32"/>
    </row>
    <row r="282" spans="1:49">
      <c r="A282" s="675"/>
      <c r="B282" s="631"/>
      <c r="F282" s="1967"/>
      <c r="G282" s="1968"/>
      <c r="H282" s="1968"/>
      <c r="I282" s="1968"/>
      <c r="J282" s="1968"/>
      <c r="K282" s="1968"/>
      <c r="L282" s="1968"/>
      <c r="M282" s="1968"/>
      <c r="N282" s="1968"/>
      <c r="O282" s="1968"/>
      <c r="P282" s="1968"/>
      <c r="Q282" s="1968"/>
      <c r="R282" s="1968"/>
      <c r="S282" s="1968"/>
      <c r="T282" s="1968"/>
      <c r="U282" s="1968"/>
      <c r="V282" s="1968"/>
      <c r="W282" s="1968"/>
      <c r="X282" s="1968"/>
      <c r="Y282" s="1968"/>
      <c r="Z282" s="1968"/>
      <c r="AA282" s="1968"/>
      <c r="AB282" s="1968"/>
      <c r="AC282" s="1968"/>
      <c r="AD282" s="1969"/>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67"/>
      <c r="G283" s="1968"/>
      <c r="H283" s="1968"/>
      <c r="I283" s="1968"/>
      <c r="J283" s="1968"/>
      <c r="K283" s="1968"/>
      <c r="L283" s="1968"/>
      <c r="M283" s="1968"/>
      <c r="N283" s="1968"/>
      <c r="O283" s="1968"/>
      <c r="P283" s="1968"/>
      <c r="Q283" s="1968"/>
      <c r="R283" s="1968"/>
      <c r="S283" s="1968"/>
      <c r="T283" s="1968"/>
      <c r="U283" s="1968"/>
      <c r="V283" s="1968"/>
      <c r="W283" s="1968"/>
      <c r="X283" s="1968"/>
      <c r="Y283" s="1968"/>
      <c r="Z283" s="1968"/>
      <c r="AA283" s="1968"/>
      <c r="AB283" s="1968"/>
      <c r="AC283" s="1968"/>
      <c r="AD283" s="1969"/>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67" t="s">
        <v>2423</v>
      </c>
      <c r="G284" s="1968"/>
      <c r="H284" s="1968"/>
      <c r="I284" s="1968"/>
      <c r="J284" s="1968"/>
      <c r="K284" s="1968"/>
      <c r="L284" s="1968"/>
      <c r="M284" s="1968"/>
      <c r="N284" s="1968"/>
      <c r="O284" s="1968"/>
      <c r="P284" s="1968"/>
      <c r="Q284" s="1968"/>
      <c r="R284" s="1968"/>
      <c r="S284" s="1968"/>
      <c r="T284" s="1968"/>
      <c r="U284" s="1968"/>
      <c r="V284" s="1968"/>
      <c r="W284" s="1968"/>
      <c r="X284" s="1968"/>
      <c r="Y284" s="1968"/>
      <c r="Z284" s="1968"/>
      <c r="AA284" s="1968"/>
      <c r="AB284" s="1968"/>
      <c r="AC284" s="1968"/>
      <c r="AD284" s="1969"/>
      <c r="AE284" s="677"/>
      <c r="AF284" s="586"/>
      <c r="AH284" s="586"/>
      <c r="AI284" s="586"/>
      <c r="AJ284" s="585"/>
      <c r="AK284" s="585"/>
      <c r="AL284" s="585"/>
      <c r="AM284" s="585"/>
      <c r="AN284" s="73"/>
      <c r="AO284" s="14"/>
      <c r="AP284" s="646">
        <f>MAX(AP282,AP283)</f>
        <v>10</v>
      </c>
      <c r="AQ284" s="609" t="s">
        <v>1488</v>
      </c>
      <c r="AS284" s="605"/>
      <c r="AT284" s="605"/>
      <c r="AU284" s="605"/>
      <c r="AV284" s="32"/>
      <c r="AW284" s="32"/>
    </row>
    <row r="285" spans="1:49">
      <c r="A285" s="675"/>
      <c r="B285" s="631"/>
      <c r="F285" s="1967"/>
      <c r="G285" s="1968"/>
      <c r="H285" s="1968"/>
      <c r="I285" s="1968"/>
      <c r="J285" s="1968"/>
      <c r="K285" s="1968"/>
      <c r="L285" s="1968"/>
      <c r="M285" s="1968"/>
      <c r="N285" s="1968"/>
      <c r="O285" s="1968"/>
      <c r="P285" s="1968"/>
      <c r="Q285" s="1968"/>
      <c r="R285" s="1968"/>
      <c r="S285" s="1968"/>
      <c r="T285" s="1968"/>
      <c r="U285" s="1968"/>
      <c r="V285" s="1968"/>
      <c r="W285" s="1968"/>
      <c r="X285" s="1968"/>
      <c r="Y285" s="1968"/>
      <c r="Z285" s="1968"/>
      <c r="AA285" s="1968"/>
      <c r="AB285" s="1968"/>
      <c r="AC285" s="1968"/>
      <c r="AD285" s="196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7" t="s">
        <v>1556</v>
      </c>
      <c r="G286" s="1968"/>
      <c r="H286" s="1968"/>
      <c r="I286" s="1968"/>
      <c r="J286" s="1968"/>
      <c r="K286" s="1968"/>
      <c r="L286" s="1968"/>
      <c r="M286" s="1968"/>
      <c r="N286" s="1968"/>
      <c r="O286" s="1968"/>
      <c r="P286" s="1968"/>
      <c r="Q286" s="1968"/>
      <c r="R286" s="1968"/>
      <c r="S286" s="1968"/>
      <c r="T286" s="1968"/>
      <c r="U286" s="1968"/>
      <c r="V286" s="1968"/>
      <c r="W286" s="1968"/>
      <c r="X286" s="1968"/>
      <c r="Y286" s="1968"/>
      <c r="Z286" s="1968"/>
      <c r="AA286" s="1968"/>
      <c r="AB286" s="1968"/>
      <c r="AC286" s="1968"/>
      <c r="AD286" s="196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7"/>
      <c r="G287" s="1968"/>
      <c r="H287" s="1968"/>
      <c r="I287" s="1968"/>
      <c r="J287" s="1968"/>
      <c r="K287" s="1968"/>
      <c r="L287" s="1968"/>
      <c r="M287" s="1968"/>
      <c r="N287" s="1968"/>
      <c r="O287" s="1968"/>
      <c r="P287" s="1968"/>
      <c r="Q287" s="1968"/>
      <c r="R287" s="1968"/>
      <c r="S287" s="1968"/>
      <c r="T287" s="1968"/>
      <c r="U287" s="1968"/>
      <c r="V287" s="1968"/>
      <c r="W287" s="1968"/>
      <c r="X287" s="1968"/>
      <c r="Y287" s="1968"/>
      <c r="Z287" s="1968"/>
      <c r="AA287" s="1968"/>
      <c r="AB287" s="1968"/>
      <c r="AC287" s="1968"/>
      <c r="AD287" s="196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7" t="s">
        <v>1557</v>
      </c>
      <c r="G288" s="1968"/>
      <c r="H288" s="1968"/>
      <c r="I288" s="1968"/>
      <c r="J288" s="1968"/>
      <c r="K288" s="1968"/>
      <c r="L288" s="1968"/>
      <c r="M288" s="1968"/>
      <c r="N288" s="1968"/>
      <c r="O288" s="1968"/>
      <c r="P288" s="1968"/>
      <c r="Q288" s="1968"/>
      <c r="R288" s="1968"/>
      <c r="S288" s="1968"/>
      <c r="T288" s="1968"/>
      <c r="U288" s="1968"/>
      <c r="V288" s="1968"/>
      <c r="W288" s="1968"/>
      <c r="X288" s="1968"/>
      <c r="Y288" s="1968"/>
      <c r="Z288" s="1968"/>
      <c r="AA288" s="1968"/>
      <c r="AB288" s="1968"/>
      <c r="AC288" s="1968"/>
      <c r="AD288" s="196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0"/>
      <c r="G289" s="1971"/>
      <c r="H289" s="1971"/>
      <c r="I289" s="1971"/>
      <c r="J289" s="1971"/>
      <c r="K289" s="1971"/>
      <c r="L289" s="1971"/>
      <c r="M289" s="1971"/>
      <c r="N289" s="1971"/>
      <c r="O289" s="1971"/>
      <c r="P289" s="1971"/>
      <c r="Q289" s="1971"/>
      <c r="R289" s="1971"/>
      <c r="S289" s="1971"/>
      <c r="T289" s="1971"/>
      <c r="U289" s="1971"/>
      <c r="V289" s="1971"/>
      <c r="W289" s="1971"/>
      <c r="X289" s="1971"/>
      <c r="Y289" s="1971"/>
      <c r="Z289" s="1971"/>
      <c r="AA289" s="1971"/>
      <c r="AB289" s="1971"/>
      <c r="AC289" s="1971"/>
      <c r="AD289" s="197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4" t="s">
        <v>1558</v>
      </c>
      <c r="B291" s="1644"/>
      <c r="C291" s="1945" t="s">
        <v>600</v>
      </c>
      <c r="D291" s="1945"/>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0" t="s">
        <v>2417</v>
      </c>
      <c r="G292" s="1881"/>
      <c r="H292" s="1881"/>
      <c r="I292" s="1881"/>
      <c r="J292" s="1881"/>
      <c r="K292" s="1881"/>
      <c r="L292" s="1881"/>
      <c r="M292" s="1881"/>
      <c r="N292" s="1881"/>
      <c r="O292" s="1881"/>
      <c r="P292" s="1881"/>
      <c r="Q292" s="1881"/>
      <c r="R292" s="1881"/>
      <c r="S292" s="1881"/>
      <c r="T292" s="1881"/>
      <c r="U292" s="1881"/>
      <c r="V292" s="1881"/>
      <c r="W292" s="1881"/>
      <c r="X292" s="1881"/>
      <c r="Y292" s="1881"/>
      <c r="Z292" s="1881"/>
      <c r="AA292" s="1881"/>
      <c r="AB292" s="1881"/>
      <c r="AC292" s="1881"/>
      <c r="AD292" s="1882"/>
      <c r="AE292" s="586"/>
      <c r="AF292" s="586"/>
      <c r="AG292" s="586"/>
      <c r="AH292" s="586"/>
      <c r="AI292" s="586"/>
      <c r="AJ292" s="585"/>
      <c r="AK292" s="585"/>
      <c r="AL292" s="585"/>
      <c r="AM292" s="585"/>
      <c r="AR292" s="683"/>
    </row>
    <row r="293" spans="1:49" ht="15" customHeight="1">
      <c r="A293" s="585"/>
      <c r="B293" s="586"/>
      <c r="C293" s="585"/>
      <c r="D293" s="586"/>
      <c r="E293" s="585"/>
      <c r="F293" s="1880"/>
      <c r="G293" s="1881"/>
      <c r="H293" s="1881"/>
      <c r="I293" s="1881"/>
      <c r="J293" s="1881"/>
      <c r="K293" s="1881"/>
      <c r="L293" s="1881"/>
      <c r="M293" s="1881"/>
      <c r="N293" s="1881"/>
      <c r="O293" s="1881"/>
      <c r="P293" s="1881"/>
      <c r="Q293" s="1881"/>
      <c r="R293" s="1881"/>
      <c r="S293" s="1881"/>
      <c r="T293" s="1881"/>
      <c r="U293" s="1881"/>
      <c r="V293" s="1881"/>
      <c r="W293" s="1881"/>
      <c r="X293" s="1881"/>
      <c r="Y293" s="1881"/>
      <c r="Z293" s="1881"/>
      <c r="AA293" s="1881"/>
      <c r="AB293" s="1881"/>
      <c r="AC293" s="1881"/>
      <c r="AD293" s="1882"/>
      <c r="AE293" s="586"/>
      <c r="AF293" s="586"/>
      <c r="AG293" s="586"/>
      <c r="AH293" s="586"/>
      <c r="AI293" s="586"/>
      <c r="AJ293" s="585"/>
      <c r="AK293" s="585"/>
      <c r="AL293" s="585"/>
      <c r="AM293" s="585"/>
      <c r="AR293" s="683"/>
    </row>
    <row r="294" spans="1:49">
      <c r="A294" s="585"/>
      <c r="B294" s="586"/>
      <c r="C294" s="585"/>
      <c r="D294" s="586"/>
      <c r="E294" s="585"/>
      <c r="F294" s="1880"/>
      <c r="G294" s="1881"/>
      <c r="H294" s="1881"/>
      <c r="I294" s="1881"/>
      <c r="J294" s="1881"/>
      <c r="K294" s="1881"/>
      <c r="L294" s="1881"/>
      <c r="M294" s="1881"/>
      <c r="N294" s="1881"/>
      <c r="O294" s="1881"/>
      <c r="P294" s="1881"/>
      <c r="Q294" s="1881"/>
      <c r="R294" s="1881"/>
      <c r="S294" s="1881"/>
      <c r="T294" s="1881"/>
      <c r="U294" s="1881"/>
      <c r="V294" s="1881"/>
      <c r="W294" s="1881"/>
      <c r="X294" s="1881"/>
      <c r="Y294" s="1881"/>
      <c r="Z294" s="1881"/>
      <c r="AA294" s="1881"/>
      <c r="AB294" s="1881"/>
      <c r="AC294" s="1881"/>
      <c r="AD294" s="188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7"/>
      <c r="G295" s="1878"/>
      <c r="H295" s="1878"/>
      <c r="I295" s="1878"/>
      <c r="J295" s="1878"/>
      <c r="K295" s="1878"/>
      <c r="L295" s="1878"/>
      <c r="M295" s="1878"/>
      <c r="N295" s="1878"/>
      <c r="O295" s="1878"/>
      <c r="P295" s="1878"/>
      <c r="Q295" s="1878"/>
      <c r="R295" s="1878"/>
      <c r="S295" s="1878"/>
      <c r="T295" s="1878"/>
      <c r="U295" s="1878"/>
      <c r="V295" s="1878"/>
      <c r="W295" s="1878"/>
      <c r="X295" s="1878"/>
      <c r="Y295" s="1878"/>
      <c r="Z295" s="1878"/>
      <c r="AA295" s="1878"/>
      <c r="AB295" s="1878"/>
      <c r="AC295" s="1878"/>
      <c r="AD295" s="187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4" t="s">
        <v>1561</v>
      </c>
      <c r="B299" s="1644"/>
      <c r="C299" s="1945" t="s">
        <v>600</v>
      </c>
      <c r="D299" s="1945"/>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67" t="s">
        <v>2424</v>
      </c>
      <c r="G300" s="1968"/>
      <c r="H300" s="1968"/>
      <c r="I300" s="1968"/>
      <c r="J300" s="1968"/>
      <c r="K300" s="1968"/>
      <c r="L300" s="1968"/>
      <c r="M300" s="1968"/>
      <c r="N300" s="1968"/>
      <c r="O300" s="1968"/>
      <c r="P300" s="1968"/>
      <c r="Q300" s="1968"/>
      <c r="R300" s="1968"/>
      <c r="S300" s="1968"/>
      <c r="T300" s="1968"/>
      <c r="U300" s="1968"/>
      <c r="V300" s="1968"/>
      <c r="W300" s="1968"/>
      <c r="X300" s="1968"/>
      <c r="Y300" s="1968"/>
      <c r="Z300" s="1968"/>
      <c r="AA300" s="1968"/>
      <c r="AB300" s="1968"/>
      <c r="AC300" s="1968"/>
      <c r="AD300" s="1969"/>
      <c r="AE300" s="586"/>
      <c r="AF300" s="586"/>
      <c r="AG300" s="574"/>
      <c r="AH300" s="586"/>
      <c r="AI300" s="586"/>
      <c r="AJ300" s="585"/>
      <c r="AK300" s="585"/>
      <c r="AL300" s="585"/>
      <c r="AM300" s="585"/>
      <c r="AN300" s="73"/>
      <c r="AO300" s="14"/>
      <c r="AP300" s="592" t="s">
        <v>1327</v>
      </c>
    </row>
    <row r="301" spans="1:49" hidden="1">
      <c r="F301" s="1967"/>
      <c r="G301" s="1968"/>
      <c r="H301" s="1968"/>
      <c r="I301" s="1968"/>
      <c r="J301" s="1968"/>
      <c r="K301" s="1968"/>
      <c r="L301" s="1968"/>
      <c r="M301" s="1968"/>
      <c r="N301" s="1968"/>
      <c r="O301" s="1968"/>
      <c r="P301" s="1968"/>
      <c r="Q301" s="1968"/>
      <c r="R301" s="1968"/>
      <c r="S301" s="1968"/>
      <c r="T301" s="1968"/>
      <c r="U301" s="1968"/>
      <c r="V301" s="1968"/>
      <c r="W301" s="1968"/>
      <c r="X301" s="1968"/>
      <c r="Y301" s="1968"/>
      <c r="Z301" s="1968"/>
      <c r="AA301" s="1968"/>
      <c r="AB301" s="1968"/>
      <c r="AC301" s="1968"/>
      <c r="AD301" s="1969"/>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7" t="s">
        <v>1327</v>
      </c>
      <c r="G305" s="1978"/>
      <c r="H305" s="1978"/>
      <c r="I305" s="1978"/>
      <c r="J305" s="1978"/>
      <c r="K305" s="1978"/>
      <c r="L305" s="1978"/>
      <c r="M305" s="1978"/>
      <c r="N305" s="1978"/>
      <c r="O305" s="1978"/>
      <c r="P305" s="1978"/>
      <c r="Q305" s="1978"/>
      <c r="R305" s="1978"/>
      <c r="S305" s="1978"/>
      <c r="T305" s="1978"/>
      <c r="U305" s="1978"/>
      <c r="V305" s="1978"/>
      <c r="W305" s="1978"/>
      <c r="X305" s="1978"/>
      <c r="Y305" s="1978"/>
      <c r="Z305" s="1978"/>
      <c r="AA305" s="1978"/>
      <c r="AB305" s="1978"/>
      <c r="AC305" s="1978"/>
      <c r="AD305" s="1979"/>
      <c r="AE305" s="677"/>
      <c r="AF305" s="677"/>
      <c r="AG305" s="677"/>
      <c r="AH305" s="677"/>
      <c r="AI305" s="677"/>
      <c r="AJ305" s="677"/>
      <c r="AK305" s="677"/>
      <c r="AL305" s="585"/>
      <c r="AM305" s="585"/>
      <c r="AN305" s="73"/>
      <c r="AO305" s="14"/>
      <c r="AP305" s="30"/>
    </row>
    <row r="306" spans="1:42" hidden="1">
      <c r="A306" s="585"/>
      <c r="B306" s="586"/>
      <c r="C306" s="765"/>
      <c r="D306" s="765"/>
      <c r="E306" s="582"/>
      <c r="F306" s="1977"/>
      <c r="G306" s="1978"/>
      <c r="H306" s="1978"/>
      <c r="I306" s="1978"/>
      <c r="J306" s="1978"/>
      <c r="K306" s="1978"/>
      <c r="L306" s="1978"/>
      <c r="M306" s="1978"/>
      <c r="N306" s="1978"/>
      <c r="O306" s="1978"/>
      <c r="P306" s="1978"/>
      <c r="Q306" s="1978"/>
      <c r="R306" s="1978"/>
      <c r="S306" s="1978"/>
      <c r="T306" s="1978"/>
      <c r="U306" s="1978"/>
      <c r="V306" s="1978"/>
      <c r="W306" s="1978"/>
      <c r="X306" s="1978"/>
      <c r="Y306" s="1978"/>
      <c r="Z306" s="1978"/>
      <c r="AA306" s="1978"/>
      <c r="AB306" s="1978"/>
      <c r="AC306" s="1978"/>
      <c r="AD306" s="1979"/>
      <c r="AE306" s="586"/>
      <c r="AF306" s="586"/>
      <c r="AG306" s="574"/>
      <c r="AH306" s="586"/>
      <c r="AI306" s="586"/>
      <c r="AJ306" s="585"/>
      <c r="AK306" s="585"/>
      <c r="AL306" s="585"/>
      <c r="AM306" s="585"/>
      <c r="AN306" s="73"/>
      <c r="AO306" s="14"/>
      <c r="AP306" s="30"/>
    </row>
    <row r="307" spans="1:42" hidden="1">
      <c r="A307" s="585"/>
      <c r="B307" s="586"/>
      <c r="C307" s="765"/>
      <c r="D307" s="765"/>
      <c r="E307" s="582"/>
      <c r="F307" s="1977"/>
      <c r="G307" s="1978"/>
      <c r="H307" s="1978"/>
      <c r="I307" s="1978"/>
      <c r="J307" s="1978"/>
      <c r="K307" s="1978"/>
      <c r="L307" s="1978"/>
      <c r="M307" s="1978"/>
      <c r="N307" s="1978"/>
      <c r="O307" s="1978"/>
      <c r="P307" s="1978"/>
      <c r="Q307" s="1978"/>
      <c r="R307" s="1978"/>
      <c r="S307" s="1978"/>
      <c r="T307" s="1978"/>
      <c r="U307" s="1978"/>
      <c r="V307" s="1978"/>
      <c r="W307" s="1978"/>
      <c r="X307" s="1978"/>
      <c r="Y307" s="1978"/>
      <c r="Z307" s="1978"/>
      <c r="AA307" s="1978"/>
      <c r="AB307" s="1978"/>
      <c r="AC307" s="1978"/>
      <c r="AD307" s="1979"/>
      <c r="AE307" s="586"/>
      <c r="AF307" s="586"/>
      <c r="AG307" s="574"/>
      <c r="AH307" s="586"/>
      <c r="AI307" s="586"/>
      <c r="AJ307" s="585"/>
      <c r="AK307" s="585"/>
      <c r="AL307" s="585"/>
      <c r="AM307" s="585"/>
      <c r="AN307" s="73"/>
      <c r="AO307" s="14"/>
      <c r="AP307" s="30"/>
    </row>
    <row r="308" spans="1:42" hidden="1">
      <c r="A308" s="585"/>
      <c r="B308" s="586"/>
      <c r="C308" s="765"/>
      <c r="D308" s="765"/>
      <c r="E308" s="582"/>
      <c r="F308" s="1977"/>
      <c r="G308" s="1978"/>
      <c r="H308" s="1978"/>
      <c r="I308" s="1978"/>
      <c r="J308" s="1978"/>
      <c r="K308" s="1978"/>
      <c r="L308" s="1978"/>
      <c r="M308" s="1978"/>
      <c r="N308" s="1978"/>
      <c r="O308" s="1978"/>
      <c r="P308" s="1978"/>
      <c r="Q308" s="1978"/>
      <c r="R308" s="1978"/>
      <c r="S308" s="1978"/>
      <c r="T308" s="1978"/>
      <c r="U308" s="1978"/>
      <c r="V308" s="1978"/>
      <c r="W308" s="1978"/>
      <c r="X308" s="1978"/>
      <c r="Y308" s="1978"/>
      <c r="Z308" s="1978"/>
      <c r="AA308" s="1978"/>
      <c r="AB308" s="1978"/>
      <c r="AC308" s="1978"/>
      <c r="AD308" s="1979"/>
      <c r="AE308" s="586"/>
      <c r="AF308" s="586"/>
      <c r="AG308" s="574"/>
      <c r="AH308" s="586"/>
      <c r="AI308" s="586"/>
      <c r="AJ308" s="585"/>
      <c r="AK308" s="585"/>
      <c r="AL308" s="585"/>
      <c r="AM308" s="585"/>
      <c r="AN308" s="73"/>
      <c r="AO308" s="14"/>
      <c r="AP308" s="30"/>
    </row>
    <row r="309" spans="1:42" hidden="1">
      <c r="A309" s="585"/>
      <c r="B309" s="586"/>
      <c r="C309" s="765"/>
      <c r="D309" s="765"/>
      <c r="E309" s="582"/>
      <c r="F309" s="1980"/>
      <c r="G309" s="1981"/>
      <c r="H309" s="1981"/>
      <c r="I309" s="1981"/>
      <c r="J309" s="1981"/>
      <c r="K309" s="1981"/>
      <c r="L309" s="1981"/>
      <c r="M309" s="1981"/>
      <c r="N309" s="1981"/>
      <c r="O309" s="1981"/>
      <c r="P309" s="1981"/>
      <c r="Q309" s="1981"/>
      <c r="R309" s="1981"/>
      <c r="S309" s="1981"/>
      <c r="T309" s="1981"/>
      <c r="U309" s="1981"/>
      <c r="V309" s="1981"/>
      <c r="W309" s="1981"/>
      <c r="X309" s="1981"/>
      <c r="Y309" s="1981"/>
      <c r="Z309" s="1981"/>
      <c r="AA309" s="1981"/>
      <c r="AB309" s="1981"/>
      <c r="AC309" s="1981"/>
      <c r="AD309" s="198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83" t="s">
        <v>1327</v>
      </c>
      <c r="J313" s="1983"/>
      <c r="K313" s="1983"/>
      <c r="L313" s="1983"/>
      <c r="M313" s="1983"/>
      <c r="N313" s="1983"/>
      <c r="O313" s="1983"/>
      <c r="P313" s="1983"/>
      <c r="Q313" s="1983"/>
      <c r="R313" s="1983"/>
      <c r="S313" s="1983"/>
      <c r="T313" s="1983"/>
      <c r="U313" s="1983"/>
      <c r="V313" s="1983"/>
      <c r="W313" s="1983"/>
      <c r="X313" s="1983"/>
      <c r="Y313" s="1983"/>
      <c r="Z313" s="1983"/>
      <c r="AA313" s="1983"/>
      <c r="AB313" s="1983"/>
      <c r="AC313" s="1983"/>
      <c r="AD313" s="1984"/>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83"/>
      <c r="J314" s="1983"/>
      <c r="K314" s="1983"/>
      <c r="L314" s="1983"/>
      <c r="M314" s="1983"/>
      <c r="N314" s="1983"/>
      <c r="O314" s="1983"/>
      <c r="P314" s="1983"/>
      <c r="Q314" s="1983"/>
      <c r="R314" s="1983"/>
      <c r="S314" s="1983"/>
      <c r="T314" s="1983"/>
      <c r="U314" s="1983"/>
      <c r="V314" s="1983"/>
      <c r="W314" s="1983"/>
      <c r="X314" s="1983"/>
      <c r="Y314" s="1983"/>
      <c r="Z314" s="1983"/>
      <c r="AA314" s="1983"/>
      <c r="AB314" s="1983"/>
      <c r="AC314" s="1983"/>
      <c r="AD314" s="1984"/>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83"/>
      <c r="J315" s="1983"/>
      <c r="K315" s="1983"/>
      <c r="L315" s="1983"/>
      <c r="M315" s="1983"/>
      <c r="N315" s="1983"/>
      <c r="O315" s="1983"/>
      <c r="P315" s="1983"/>
      <c r="Q315" s="1983"/>
      <c r="R315" s="1983"/>
      <c r="S315" s="1983"/>
      <c r="T315" s="1983"/>
      <c r="U315" s="1983"/>
      <c r="V315" s="1983"/>
      <c r="W315" s="1983"/>
      <c r="X315" s="1983"/>
      <c r="Y315" s="1983"/>
      <c r="Z315" s="1983"/>
      <c r="AA315" s="1983"/>
      <c r="AB315" s="1983"/>
      <c r="AC315" s="1983"/>
      <c r="AD315" s="1984"/>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85"/>
      <c r="J316" s="1985"/>
      <c r="K316" s="1985"/>
      <c r="L316" s="1985"/>
      <c r="M316" s="1985"/>
      <c r="N316" s="1985"/>
      <c r="O316" s="1985"/>
      <c r="P316" s="1985"/>
      <c r="Q316" s="1985"/>
      <c r="R316" s="1985"/>
      <c r="S316" s="1985"/>
      <c r="T316" s="1985"/>
      <c r="U316" s="1985"/>
      <c r="V316" s="1985"/>
      <c r="W316" s="1985"/>
      <c r="X316" s="1985"/>
      <c r="Y316" s="1985"/>
      <c r="Z316" s="1985"/>
      <c r="AA316" s="1985"/>
      <c r="AB316" s="1985"/>
      <c r="AC316" s="1985"/>
      <c r="AD316" s="1986"/>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83" t="s">
        <v>1327</v>
      </c>
      <c r="J318" s="1983"/>
      <c r="K318" s="1983"/>
      <c r="L318" s="1983"/>
      <c r="M318" s="1983"/>
      <c r="N318" s="1983"/>
      <c r="O318" s="1983"/>
      <c r="P318" s="1983"/>
      <c r="Q318" s="1983"/>
      <c r="R318" s="1983"/>
      <c r="S318" s="1983"/>
      <c r="T318" s="1983"/>
      <c r="U318" s="1983"/>
      <c r="V318" s="1983"/>
      <c r="W318" s="1983"/>
      <c r="X318" s="1983"/>
      <c r="Y318" s="1983"/>
      <c r="Z318" s="1983"/>
      <c r="AA318" s="1983"/>
      <c r="AB318" s="1983"/>
      <c r="AC318" s="1983"/>
      <c r="AD318" s="198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3"/>
      <c r="J319" s="1983"/>
      <c r="K319" s="1983"/>
      <c r="L319" s="1983"/>
      <c r="M319" s="1983"/>
      <c r="N319" s="1983"/>
      <c r="O319" s="1983"/>
      <c r="P319" s="1983"/>
      <c r="Q319" s="1983"/>
      <c r="R319" s="1983"/>
      <c r="S319" s="1983"/>
      <c r="T319" s="1983"/>
      <c r="U319" s="1983"/>
      <c r="V319" s="1983"/>
      <c r="W319" s="1983"/>
      <c r="X319" s="1983"/>
      <c r="Y319" s="1983"/>
      <c r="Z319" s="1983"/>
      <c r="AA319" s="1983"/>
      <c r="AB319" s="1983"/>
      <c r="AC319" s="1983"/>
      <c r="AD319" s="1984"/>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85"/>
      <c r="J320" s="1985"/>
      <c r="K320" s="1985"/>
      <c r="L320" s="1985"/>
      <c r="M320" s="1985"/>
      <c r="N320" s="1985"/>
      <c r="O320" s="1985"/>
      <c r="P320" s="1985"/>
      <c r="Q320" s="1985"/>
      <c r="R320" s="1985"/>
      <c r="S320" s="1985"/>
      <c r="T320" s="1985"/>
      <c r="U320" s="1985"/>
      <c r="V320" s="1985"/>
      <c r="W320" s="1985"/>
      <c r="X320" s="1985"/>
      <c r="Y320" s="1985"/>
      <c r="Z320" s="1985"/>
      <c r="AA320" s="1985"/>
      <c r="AB320" s="1985"/>
      <c r="AC320" s="1985"/>
      <c r="AD320" s="1986"/>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4" t="s">
        <v>1564</v>
      </c>
      <c r="B322" s="1644"/>
      <c r="C322" s="1945" t="s">
        <v>600</v>
      </c>
      <c r="D322" s="1945"/>
      <c r="E322" s="582"/>
      <c r="F322" s="1874" t="s">
        <v>2425</v>
      </c>
      <c r="G322" s="1875"/>
      <c r="H322" s="1875"/>
      <c r="I322" s="1875"/>
      <c r="J322" s="1875"/>
      <c r="K322" s="1875"/>
      <c r="L322" s="1875"/>
      <c r="M322" s="1875"/>
      <c r="N322" s="1875"/>
      <c r="O322" s="1875"/>
      <c r="P322" s="1875"/>
      <c r="Q322" s="1875"/>
      <c r="R322" s="1875"/>
      <c r="S322" s="1875"/>
      <c r="T322" s="1875"/>
      <c r="U322" s="1875"/>
      <c r="V322" s="1875"/>
      <c r="W322" s="1875"/>
      <c r="X322" s="1875"/>
      <c r="Y322" s="1875"/>
      <c r="Z322" s="1875"/>
      <c r="AA322" s="1875"/>
      <c r="AB322" s="1875"/>
      <c r="AC322" s="1875"/>
      <c r="AD322" s="1876"/>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0"/>
      <c r="G323" s="1881"/>
      <c r="H323" s="1881"/>
      <c r="I323" s="1881"/>
      <c r="J323" s="1881"/>
      <c r="K323" s="1881"/>
      <c r="L323" s="1881"/>
      <c r="M323" s="1881"/>
      <c r="N323" s="1881"/>
      <c r="O323" s="1881"/>
      <c r="P323" s="1881"/>
      <c r="Q323" s="1881"/>
      <c r="R323" s="1881"/>
      <c r="S323" s="1881"/>
      <c r="T323" s="1881"/>
      <c r="U323" s="1881"/>
      <c r="V323" s="1881"/>
      <c r="W323" s="1881"/>
      <c r="X323" s="1881"/>
      <c r="Y323" s="1881"/>
      <c r="Z323" s="1881"/>
      <c r="AA323" s="1881"/>
      <c r="AB323" s="1881"/>
      <c r="AC323" s="1881"/>
      <c r="AD323" s="1882"/>
      <c r="AE323" s="586"/>
      <c r="AF323" s="586"/>
      <c r="AG323" s="586"/>
      <c r="AH323" s="586"/>
      <c r="AI323" s="586"/>
      <c r="AJ323" s="585"/>
      <c r="AK323" s="585"/>
      <c r="AL323" s="585"/>
      <c r="AM323" s="585"/>
      <c r="AN323" s="73"/>
      <c r="AO323" s="14"/>
    </row>
    <row r="324" spans="1:44" ht="15" hidden="1" customHeight="1">
      <c r="A324" s="585"/>
      <c r="B324" s="586"/>
      <c r="C324" s="586"/>
      <c r="D324" s="586"/>
      <c r="E324" s="586"/>
      <c r="F324" s="1880"/>
      <c r="G324" s="1881"/>
      <c r="H324" s="1881"/>
      <c r="I324" s="1881"/>
      <c r="J324" s="1881"/>
      <c r="K324" s="1881"/>
      <c r="L324" s="1881"/>
      <c r="M324" s="1881"/>
      <c r="N324" s="1881"/>
      <c r="O324" s="1881"/>
      <c r="P324" s="1881"/>
      <c r="Q324" s="1881"/>
      <c r="R324" s="1881"/>
      <c r="S324" s="1881"/>
      <c r="T324" s="1881"/>
      <c r="U324" s="1881"/>
      <c r="V324" s="1881"/>
      <c r="W324" s="1881"/>
      <c r="X324" s="1881"/>
      <c r="Y324" s="1881"/>
      <c r="Z324" s="1881"/>
      <c r="AA324" s="1881"/>
      <c r="AB324" s="1881"/>
      <c r="AC324" s="1881"/>
      <c r="AD324" s="1882"/>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48">
        <f>IF(NOT(OR(Application!M354="Yes",Application!M355="Yes")),0,AP284)</f>
        <v>10</v>
      </c>
      <c r="AL327" s="1949"/>
      <c r="AM327" s="195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83" t="s">
        <v>1486</v>
      </c>
      <c r="AF330" s="1883"/>
      <c r="AG330" s="1883"/>
      <c r="AH330" s="1883"/>
      <c r="AI330" s="1883"/>
      <c r="AJ330" s="1883"/>
      <c r="AK330" s="188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7" t="s">
        <v>1626</v>
      </c>
      <c r="D332" s="1987"/>
      <c r="E332" s="1987"/>
      <c r="F332" s="1987"/>
      <c r="G332" s="1987"/>
      <c r="H332" s="1987"/>
      <c r="I332" s="1987"/>
      <c r="J332" s="1987"/>
      <c r="K332" s="1987"/>
      <c r="L332" s="1987"/>
      <c r="M332" s="1987"/>
      <c r="N332" s="1987"/>
      <c r="O332" s="1987"/>
      <c r="P332" s="1987"/>
      <c r="Q332" s="1987"/>
      <c r="R332" s="1987"/>
      <c r="S332" s="1987"/>
      <c r="T332" s="1987"/>
      <c r="U332" s="1987"/>
      <c r="V332" s="1987"/>
      <c r="W332" s="1987"/>
      <c r="X332" s="1987"/>
      <c r="Y332" s="1987"/>
      <c r="Z332" s="1987"/>
      <c r="AA332" s="1987"/>
      <c r="AB332" s="1987"/>
      <c r="AC332" s="1987"/>
      <c r="AD332" s="1987"/>
      <c r="AE332" s="1987"/>
      <c r="AF332" s="1987"/>
      <c r="AG332" s="1987"/>
      <c r="AH332" s="1987"/>
      <c r="AI332" s="1987"/>
      <c r="AJ332" s="1987"/>
      <c r="AK332" s="638"/>
      <c r="AL332" s="638"/>
      <c r="AM332" s="638"/>
      <c r="AN332" s="632"/>
    </row>
    <row r="333" spans="1:44" s="585" customFormat="1" ht="12.75" customHeight="1">
      <c r="A333" s="638"/>
      <c r="B333" s="646"/>
      <c r="C333" s="1987"/>
      <c r="D333" s="1987"/>
      <c r="E333" s="1987"/>
      <c r="F333" s="1987"/>
      <c r="G333" s="1987"/>
      <c r="H333" s="1987"/>
      <c r="I333" s="1987"/>
      <c r="J333" s="1987"/>
      <c r="K333" s="1987"/>
      <c r="L333" s="1987"/>
      <c r="M333" s="1987"/>
      <c r="N333" s="1987"/>
      <c r="O333" s="1987"/>
      <c r="P333" s="1987"/>
      <c r="Q333" s="1987"/>
      <c r="R333" s="1987"/>
      <c r="S333" s="1987"/>
      <c r="T333" s="1987"/>
      <c r="U333" s="1987"/>
      <c r="V333" s="1987"/>
      <c r="W333" s="1987"/>
      <c r="X333" s="1987"/>
      <c r="Y333" s="1987"/>
      <c r="Z333" s="1987"/>
      <c r="AA333" s="1987"/>
      <c r="AB333" s="1987"/>
      <c r="AC333" s="1987"/>
      <c r="AD333" s="1987"/>
      <c r="AE333" s="1987"/>
      <c r="AF333" s="1987"/>
      <c r="AG333" s="1987"/>
      <c r="AH333" s="1987"/>
      <c r="AI333" s="1987"/>
      <c r="AJ333" s="1987"/>
      <c r="AK333" s="638"/>
      <c r="AL333" s="638"/>
      <c r="AM333" s="638"/>
      <c r="AN333" s="632"/>
    </row>
    <row r="334" spans="1:44" s="585" customFormat="1" ht="12.75" customHeight="1">
      <c r="A334" s="638"/>
      <c r="B334" s="646"/>
      <c r="C334" s="1987"/>
      <c r="D334" s="1987"/>
      <c r="E334" s="1987"/>
      <c r="F334" s="1987"/>
      <c r="G334" s="1987"/>
      <c r="H334" s="1987"/>
      <c r="I334" s="1987"/>
      <c r="J334" s="1987"/>
      <c r="K334" s="1987"/>
      <c r="L334" s="1987"/>
      <c r="M334" s="1987"/>
      <c r="N334" s="1987"/>
      <c r="O334" s="1987"/>
      <c r="P334" s="1987"/>
      <c r="Q334" s="1987"/>
      <c r="R334" s="1987"/>
      <c r="S334" s="1987"/>
      <c r="T334" s="1987"/>
      <c r="U334" s="1987"/>
      <c r="V334" s="1987"/>
      <c r="W334" s="1987"/>
      <c r="X334" s="1987"/>
      <c r="Y334" s="1987"/>
      <c r="Z334" s="1987"/>
      <c r="AA334" s="1987"/>
      <c r="AB334" s="1987"/>
      <c r="AC334" s="1987"/>
      <c r="AD334" s="1987"/>
      <c r="AE334" s="1987"/>
      <c r="AF334" s="1987"/>
      <c r="AG334" s="1987"/>
      <c r="AH334" s="1987"/>
      <c r="AI334" s="1987"/>
      <c r="AJ334" s="1987"/>
      <c r="AK334" s="638"/>
      <c r="AL334" s="638"/>
      <c r="AM334" s="638"/>
      <c r="AN334" s="632"/>
      <c r="AQ334" s="605"/>
    </row>
    <row r="335" spans="1:44" s="585" customFormat="1" ht="12.75" customHeight="1">
      <c r="A335" s="638"/>
      <c r="B335" s="646"/>
      <c r="C335" s="1987"/>
      <c r="D335" s="1987"/>
      <c r="E335" s="1987"/>
      <c r="F335" s="1987"/>
      <c r="G335" s="1987"/>
      <c r="H335" s="1987"/>
      <c r="I335" s="1987"/>
      <c r="J335" s="1987"/>
      <c r="K335" s="1987"/>
      <c r="L335" s="1987"/>
      <c r="M335" s="1987"/>
      <c r="N335" s="1987"/>
      <c r="O335" s="1987"/>
      <c r="P335" s="1987"/>
      <c r="Q335" s="1987"/>
      <c r="R335" s="1987"/>
      <c r="S335" s="1987"/>
      <c r="T335" s="1987"/>
      <c r="U335" s="1987"/>
      <c r="V335" s="1987"/>
      <c r="W335" s="1987"/>
      <c r="X335" s="1987"/>
      <c r="Y335" s="1987"/>
      <c r="Z335" s="1987"/>
      <c r="AA335" s="1987"/>
      <c r="AB335" s="1987"/>
      <c r="AC335" s="1987"/>
      <c r="AD335" s="1987"/>
      <c r="AE335" s="1987"/>
      <c r="AF335" s="1987"/>
      <c r="AG335" s="1987"/>
      <c r="AH335" s="1987"/>
      <c r="AI335" s="1987"/>
      <c r="AJ335" s="1987"/>
      <c r="AK335" s="638"/>
      <c r="AL335" s="638"/>
      <c r="AM335" s="638"/>
      <c r="AN335" s="632"/>
      <c r="AQ335" s="605"/>
    </row>
    <row r="336" spans="1:44" s="585" customFormat="1" ht="12.4" customHeight="1">
      <c r="A336" s="638"/>
      <c r="B336" s="646"/>
      <c r="C336" s="1987"/>
      <c r="D336" s="1987"/>
      <c r="E336" s="1987"/>
      <c r="F336" s="1987"/>
      <c r="G336" s="1987"/>
      <c r="H336" s="1987"/>
      <c r="I336" s="1987"/>
      <c r="J336" s="1987"/>
      <c r="K336" s="1987"/>
      <c r="L336" s="1987"/>
      <c r="M336" s="1987"/>
      <c r="N336" s="1987"/>
      <c r="O336" s="1987"/>
      <c r="P336" s="1987"/>
      <c r="Q336" s="1987"/>
      <c r="R336" s="1987"/>
      <c r="S336" s="1987"/>
      <c r="T336" s="1987"/>
      <c r="U336" s="1987"/>
      <c r="V336" s="1987"/>
      <c r="W336" s="1987"/>
      <c r="X336" s="1987"/>
      <c r="Y336" s="1987"/>
      <c r="Z336" s="1987"/>
      <c r="AA336" s="1987"/>
      <c r="AB336" s="1987"/>
      <c r="AC336" s="1987"/>
      <c r="AD336" s="1987"/>
      <c r="AE336" s="1987"/>
      <c r="AF336" s="1987"/>
      <c r="AG336" s="1987"/>
      <c r="AH336" s="1987"/>
      <c r="AI336" s="1987"/>
      <c r="AJ336" s="1987"/>
      <c r="AK336" s="638"/>
      <c r="AL336" s="638"/>
      <c r="AM336" s="638"/>
      <c r="AN336" s="632"/>
      <c r="AQ336" s="605"/>
      <c r="AR336" s="605"/>
    </row>
    <row r="337" spans="1:46" s="585" customFormat="1" ht="45.75" customHeight="1">
      <c r="A337" s="638"/>
      <c r="B337" s="646"/>
      <c r="C337" s="1987" t="s">
        <v>2516</v>
      </c>
      <c r="D337" s="1987"/>
      <c r="E337" s="1987"/>
      <c r="F337" s="1987"/>
      <c r="G337" s="1987"/>
      <c r="H337" s="1987"/>
      <c r="I337" s="1987"/>
      <c r="J337" s="1987"/>
      <c r="K337" s="1987"/>
      <c r="L337" s="1987"/>
      <c r="M337" s="1987"/>
      <c r="N337" s="1987"/>
      <c r="O337" s="1987"/>
      <c r="P337" s="1987"/>
      <c r="Q337" s="1987"/>
      <c r="R337" s="1987"/>
      <c r="S337" s="1987"/>
      <c r="T337" s="1987"/>
      <c r="U337" s="1987"/>
      <c r="V337" s="1987"/>
      <c r="W337" s="1987"/>
      <c r="X337" s="1987"/>
      <c r="Y337" s="1987"/>
      <c r="Z337" s="1987"/>
      <c r="AA337" s="1987"/>
      <c r="AB337" s="1987"/>
      <c r="AC337" s="1987"/>
      <c r="AD337" s="1987"/>
      <c r="AE337" s="1987"/>
      <c r="AF337" s="1987"/>
      <c r="AG337" s="1987"/>
      <c r="AH337" s="1987"/>
      <c r="AI337" s="1987"/>
      <c r="AJ337" s="1987"/>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7" t="s">
        <v>2127</v>
      </c>
      <c r="D339" s="1987"/>
      <c r="E339" s="1987"/>
      <c r="F339" s="1987"/>
      <c r="G339" s="1987"/>
      <c r="H339" s="1987"/>
      <c r="I339" s="1987"/>
      <c r="J339" s="1987"/>
      <c r="K339" s="1987"/>
      <c r="L339" s="1987"/>
      <c r="M339" s="1987"/>
      <c r="N339" s="1987"/>
      <c r="O339" s="1987"/>
      <c r="P339" s="1987"/>
      <c r="Q339" s="1987"/>
      <c r="R339" s="1987"/>
      <c r="S339" s="1987"/>
      <c r="T339" s="1987"/>
      <c r="U339" s="1987"/>
      <c r="V339" s="1987"/>
      <c r="W339" s="1987"/>
      <c r="X339" s="1987"/>
      <c r="Y339" s="1987"/>
      <c r="Z339" s="1987"/>
      <c r="AA339" s="1987"/>
      <c r="AB339" s="1987"/>
      <c r="AC339" s="1987"/>
      <c r="AD339" s="1987"/>
      <c r="AE339" s="1987"/>
      <c r="AF339" s="1987"/>
      <c r="AG339" s="1987"/>
      <c r="AH339" s="1987"/>
      <c r="AI339" s="1987"/>
      <c r="AJ339" s="1987"/>
      <c r="AK339" s="638"/>
      <c r="AL339" s="638"/>
      <c r="AM339" s="638"/>
      <c r="AN339" s="632"/>
      <c r="AQ339" s="605"/>
      <c r="AR339" s="605"/>
    </row>
    <row r="340" spans="1:46" s="585" customFormat="1" ht="30" customHeight="1">
      <c r="A340" s="638"/>
      <c r="B340" s="646"/>
      <c r="C340" s="1987"/>
      <c r="D340" s="1987"/>
      <c r="E340" s="1987"/>
      <c r="F340" s="1987"/>
      <c r="G340" s="1987"/>
      <c r="H340" s="1987"/>
      <c r="I340" s="1987"/>
      <c r="J340" s="1987"/>
      <c r="K340" s="1987"/>
      <c r="L340" s="1987"/>
      <c r="M340" s="1987"/>
      <c r="N340" s="1987"/>
      <c r="O340" s="1987"/>
      <c r="P340" s="1987"/>
      <c r="Q340" s="1987"/>
      <c r="R340" s="1987"/>
      <c r="S340" s="1987"/>
      <c r="T340" s="1987"/>
      <c r="U340" s="1987"/>
      <c r="V340" s="1987"/>
      <c r="W340" s="1987"/>
      <c r="X340" s="1987"/>
      <c r="Y340" s="1987"/>
      <c r="Z340" s="1987"/>
      <c r="AA340" s="1987"/>
      <c r="AB340" s="1987"/>
      <c r="AC340" s="1987"/>
      <c r="AD340" s="1987"/>
      <c r="AE340" s="1987"/>
      <c r="AF340" s="1987"/>
      <c r="AG340" s="1987"/>
      <c r="AH340" s="1987"/>
      <c r="AI340" s="1987"/>
      <c r="AJ340" s="1987"/>
      <c r="AK340" s="638"/>
      <c r="AL340" s="638"/>
      <c r="AM340" s="638"/>
      <c r="AN340" s="632"/>
      <c r="AR340" s="605"/>
    </row>
    <row r="341" spans="1:46" s="585" customFormat="1" ht="12.75" customHeight="1">
      <c r="A341" s="638"/>
      <c r="B341" s="646"/>
      <c r="C341" s="1987"/>
      <c r="D341" s="1987"/>
      <c r="E341" s="1987"/>
      <c r="F341" s="1987"/>
      <c r="G341" s="1987"/>
      <c r="H341" s="1987"/>
      <c r="I341" s="1987"/>
      <c r="J341" s="1987"/>
      <c r="K341" s="1987"/>
      <c r="L341" s="1987"/>
      <c r="M341" s="1987"/>
      <c r="N341" s="1987"/>
      <c r="O341" s="1987"/>
      <c r="P341" s="1987"/>
      <c r="Q341" s="1987"/>
      <c r="R341" s="1987"/>
      <c r="S341" s="1987"/>
      <c r="T341" s="1987"/>
      <c r="U341" s="1987"/>
      <c r="V341" s="1987"/>
      <c r="W341" s="1987"/>
      <c r="X341" s="1987"/>
      <c r="Y341" s="1987"/>
      <c r="Z341" s="1987"/>
      <c r="AA341" s="1987"/>
      <c r="AB341" s="1987"/>
      <c r="AC341" s="1987"/>
      <c r="AD341" s="1987"/>
      <c r="AE341" s="1987"/>
      <c r="AF341" s="1987"/>
      <c r="AG341" s="1987"/>
      <c r="AH341" s="1987"/>
      <c r="AI341" s="1987"/>
      <c r="AJ341" s="1987"/>
      <c r="AK341" s="638"/>
      <c r="AL341" s="638"/>
      <c r="AM341" s="638"/>
      <c r="AN341" s="632"/>
      <c r="AR341" s="605"/>
    </row>
    <row r="342" spans="1:46" s="585" customFormat="1" ht="12.75" customHeight="1">
      <c r="A342" s="638"/>
      <c r="B342" s="646"/>
      <c r="C342" s="1987" t="s">
        <v>1627</v>
      </c>
      <c r="D342" s="1987"/>
      <c r="E342" s="1987"/>
      <c r="F342" s="1987"/>
      <c r="G342" s="1987"/>
      <c r="H342" s="1987"/>
      <c r="I342" s="1987"/>
      <c r="J342" s="1987"/>
      <c r="K342" s="1987"/>
      <c r="L342" s="1987"/>
      <c r="M342" s="1987"/>
      <c r="N342" s="1987"/>
      <c r="O342" s="1987"/>
      <c r="P342" s="1987"/>
      <c r="Q342" s="1987"/>
      <c r="R342" s="1987"/>
      <c r="S342" s="1987"/>
      <c r="T342" s="1987"/>
      <c r="U342" s="1987"/>
      <c r="V342" s="1987"/>
      <c r="W342" s="1987"/>
      <c r="X342" s="1987"/>
      <c r="Y342" s="1987"/>
      <c r="Z342" s="1987"/>
      <c r="AA342" s="1987"/>
      <c r="AB342" s="1987"/>
      <c r="AC342" s="1987"/>
      <c r="AD342" s="1987"/>
      <c r="AE342" s="1987"/>
      <c r="AF342" s="1987"/>
      <c r="AG342" s="1987"/>
      <c r="AH342" s="1987"/>
      <c r="AI342" s="1987"/>
      <c r="AJ342" s="1987"/>
      <c r="AK342" s="638"/>
      <c r="AL342" s="638"/>
      <c r="AM342" s="638"/>
      <c r="AN342" s="632"/>
      <c r="AQ342" s="605"/>
      <c r="AR342" s="605"/>
    </row>
    <row r="343" spans="1:46" s="585" customFormat="1" ht="12.75" customHeight="1">
      <c r="A343" s="638"/>
      <c r="B343" s="646"/>
      <c r="C343" s="1987"/>
      <c r="D343" s="1987"/>
      <c r="E343" s="1987"/>
      <c r="F343" s="1987"/>
      <c r="G343" s="1987"/>
      <c r="H343" s="1987"/>
      <c r="I343" s="1987"/>
      <c r="J343" s="1987"/>
      <c r="K343" s="1987"/>
      <c r="L343" s="1987"/>
      <c r="M343" s="1987"/>
      <c r="N343" s="1987"/>
      <c r="O343" s="1987"/>
      <c r="P343" s="1987"/>
      <c r="Q343" s="1987"/>
      <c r="R343" s="1987"/>
      <c r="S343" s="1987"/>
      <c r="T343" s="1987"/>
      <c r="U343" s="1987"/>
      <c r="V343" s="1987"/>
      <c r="W343" s="1987"/>
      <c r="X343" s="1987"/>
      <c r="Y343" s="1987"/>
      <c r="Z343" s="1987"/>
      <c r="AA343" s="1987"/>
      <c r="AB343" s="1987"/>
      <c r="AC343" s="1987"/>
      <c r="AD343" s="1987"/>
      <c r="AE343" s="1987"/>
      <c r="AF343" s="1987"/>
      <c r="AG343" s="1987"/>
      <c r="AH343" s="1987"/>
      <c r="AI343" s="1987"/>
      <c r="AJ343" s="1987"/>
      <c r="AK343" s="638"/>
      <c r="AL343" s="638"/>
      <c r="AM343" s="638"/>
      <c r="AN343" s="632"/>
      <c r="AQ343" s="605"/>
      <c r="AR343" s="605"/>
    </row>
    <row r="344" spans="1:46" s="585" customFormat="1" ht="13.15" customHeight="1">
      <c r="A344" s="638"/>
      <c r="B344" s="646"/>
      <c r="C344" s="1987"/>
      <c r="D344" s="1987"/>
      <c r="E344" s="1987"/>
      <c r="F344" s="1987"/>
      <c r="G344" s="1987"/>
      <c r="H344" s="1987"/>
      <c r="I344" s="1987"/>
      <c r="J344" s="1987"/>
      <c r="K344" s="1987"/>
      <c r="L344" s="1987"/>
      <c r="M344" s="1987"/>
      <c r="N344" s="1987"/>
      <c r="O344" s="1987"/>
      <c r="P344" s="1987"/>
      <c r="Q344" s="1987"/>
      <c r="R344" s="1987"/>
      <c r="S344" s="1987"/>
      <c r="T344" s="1987"/>
      <c r="U344" s="1987"/>
      <c r="V344" s="1987"/>
      <c r="W344" s="1987"/>
      <c r="X344" s="1987"/>
      <c r="Y344" s="1987"/>
      <c r="Z344" s="1987"/>
      <c r="AA344" s="1987"/>
      <c r="AB344" s="1987"/>
      <c r="AC344" s="1987"/>
      <c r="AD344" s="1987"/>
      <c r="AE344" s="1987"/>
      <c r="AF344" s="1987"/>
      <c r="AG344" s="1987"/>
      <c r="AH344" s="1987"/>
      <c r="AI344" s="1987"/>
      <c r="AJ344" s="1987"/>
      <c r="AK344" s="638"/>
      <c r="AL344" s="638"/>
      <c r="AM344" s="638"/>
      <c r="AN344" s="632"/>
      <c r="AQ344" s="605"/>
      <c r="AR344" s="605"/>
    </row>
    <row r="345" spans="1:46" s="585" customFormat="1" ht="12.75" customHeight="1">
      <c r="A345" s="638"/>
      <c r="B345" s="646"/>
      <c r="C345" s="1987"/>
      <c r="D345" s="1987"/>
      <c r="E345" s="1987"/>
      <c r="F345" s="1987"/>
      <c r="G345" s="1987"/>
      <c r="H345" s="1987"/>
      <c r="I345" s="1987"/>
      <c r="J345" s="1987"/>
      <c r="K345" s="1987"/>
      <c r="L345" s="1987"/>
      <c r="M345" s="1987"/>
      <c r="N345" s="1987"/>
      <c r="O345" s="1987"/>
      <c r="P345" s="1987"/>
      <c r="Q345" s="1987"/>
      <c r="R345" s="1987"/>
      <c r="S345" s="1987"/>
      <c r="T345" s="1987"/>
      <c r="U345" s="1987"/>
      <c r="V345" s="1987"/>
      <c r="W345" s="1987"/>
      <c r="X345" s="1987"/>
      <c r="Y345" s="1987"/>
      <c r="Z345" s="1987"/>
      <c r="AA345" s="1987"/>
      <c r="AB345" s="1987"/>
      <c r="AC345" s="1987"/>
      <c r="AD345" s="1987"/>
      <c r="AE345" s="1987"/>
      <c r="AF345" s="1987"/>
      <c r="AG345" s="1987"/>
      <c r="AH345" s="1987"/>
      <c r="AI345" s="1987"/>
      <c r="AJ345" s="1987"/>
      <c r="AK345" s="638"/>
      <c r="AL345" s="638"/>
      <c r="AM345" s="638"/>
      <c r="AN345" s="632"/>
      <c r="AO345" s="729"/>
      <c r="AP345" s="729"/>
      <c r="AQ345" s="605"/>
    </row>
    <row r="346" spans="1:46" s="585" customFormat="1" ht="11.85" customHeight="1">
      <c r="A346" s="638"/>
      <c r="B346" s="646"/>
      <c r="C346" s="1987"/>
      <c r="D346" s="1987"/>
      <c r="E346" s="1987"/>
      <c r="F346" s="1987"/>
      <c r="G346" s="1987"/>
      <c r="H346" s="1987"/>
      <c r="I346" s="1987"/>
      <c r="J346" s="1987"/>
      <c r="K346" s="1987"/>
      <c r="L346" s="1987"/>
      <c r="M346" s="1987"/>
      <c r="N346" s="1987"/>
      <c r="O346" s="1987"/>
      <c r="P346" s="1987"/>
      <c r="Q346" s="1987"/>
      <c r="R346" s="1987"/>
      <c r="S346" s="1987"/>
      <c r="T346" s="1987"/>
      <c r="U346" s="1987"/>
      <c r="V346" s="1987"/>
      <c r="W346" s="1987"/>
      <c r="X346" s="1987"/>
      <c r="Y346" s="1987"/>
      <c r="Z346" s="1987"/>
      <c r="AA346" s="1987"/>
      <c r="AB346" s="1987"/>
      <c r="AC346" s="1987"/>
      <c r="AD346" s="1987"/>
      <c r="AE346" s="1987"/>
      <c r="AF346" s="1987"/>
      <c r="AG346" s="1987"/>
      <c r="AH346" s="1987"/>
      <c r="AI346" s="1987"/>
      <c r="AJ346" s="1987"/>
      <c r="AK346" s="638"/>
      <c r="AL346" s="638"/>
      <c r="AM346" s="638"/>
      <c r="AN346" s="632"/>
      <c r="AO346" s="730" t="s">
        <v>113</v>
      </c>
      <c r="AP346" s="731">
        <f>IF(C370="Yes",5,0)</f>
        <v>0</v>
      </c>
      <c r="AS346" s="574" t="s">
        <v>1628</v>
      </c>
    </row>
    <row r="347" spans="1:46" s="585" customFormat="1" ht="12.75" customHeight="1">
      <c r="A347" s="638"/>
      <c r="B347" s="646"/>
      <c r="C347" s="1987"/>
      <c r="D347" s="1987"/>
      <c r="E347" s="1987"/>
      <c r="F347" s="1987"/>
      <c r="G347" s="1987"/>
      <c r="H347" s="1987"/>
      <c r="I347" s="1987"/>
      <c r="J347" s="1987"/>
      <c r="K347" s="1987"/>
      <c r="L347" s="1987"/>
      <c r="M347" s="1987"/>
      <c r="N347" s="1987"/>
      <c r="O347" s="1987"/>
      <c r="P347" s="1987"/>
      <c r="Q347" s="1987"/>
      <c r="R347" s="1987"/>
      <c r="S347" s="1987"/>
      <c r="T347" s="1987"/>
      <c r="U347" s="1987"/>
      <c r="V347" s="1987"/>
      <c r="W347" s="1987"/>
      <c r="X347" s="1987"/>
      <c r="Y347" s="1987"/>
      <c r="Z347" s="1987"/>
      <c r="AA347" s="1987"/>
      <c r="AB347" s="1987"/>
      <c r="AC347" s="1987"/>
      <c r="AD347" s="1987"/>
      <c r="AE347" s="1987"/>
      <c r="AF347" s="1987"/>
      <c r="AG347" s="1987"/>
      <c r="AH347" s="1987"/>
      <c r="AI347" s="1987"/>
      <c r="AJ347" s="1987"/>
      <c r="AK347" s="638"/>
      <c r="AL347" s="638"/>
      <c r="AM347" s="638"/>
      <c r="AN347" s="632"/>
      <c r="AO347" s="730" t="s">
        <v>114</v>
      </c>
      <c r="AP347" s="731">
        <f>IF(C378="Yes",5,0)</f>
        <v>0</v>
      </c>
      <c r="AS347" s="2004">
        <f>IF(Application!D210="Non-Targeted",(SUM(AQ355+AQ364)),AS351)</f>
        <v>10</v>
      </c>
      <c r="AT347" s="2004"/>
    </row>
    <row r="348" spans="1:46" s="585" customFormat="1" ht="12.75" customHeight="1">
      <c r="A348" s="638"/>
      <c r="B348" s="646"/>
      <c r="C348" s="1987"/>
      <c r="D348" s="1987"/>
      <c r="E348" s="1987"/>
      <c r="F348" s="1987"/>
      <c r="G348" s="1987"/>
      <c r="H348" s="1987"/>
      <c r="I348" s="1987"/>
      <c r="J348" s="1987"/>
      <c r="K348" s="1987"/>
      <c r="L348" s="1987"/>
      <c r="M348" s="1987"/>
      <c r="N348" s="1987"/>
      <c r="O348" s="1987"/>
      <c r="P348" s="1987"/>
      <c r="Q348" s="1987"/>
      <c r="R348" s="1987"/>
      <c r="S348" s="1987"/>
      <c r="T348" s="1987"/>
      <c r="U348" s="1987"/>
      <c r="V348" s="1987"/>
      <c r="W348" s="1987"/>
      <c r="X348" s="1987"/>
      <c r="Y348" s="1987"/>
      <c r="Z348" s="1987"/>
      <c r="AA348" s="1987"/>
      <c r="AB348" s="1987"/>
      <c r="AC348" s="1987"/>
      <c r="AD348" s="1987"/>
      <c r="AE348" s="1987"/>
      <c r="AF348" s="1987"/>
      <c r="AG348" s="1987"/>
      <c r="AH348" s="1987"/>
      <c r="AI348" s="1987"/>
      <c r="AJ348" s="1987"/>
      <c r="AK348" s="638"/>
      <c r="AL348" s="638"/>
      <c r="AM348" s="638"/>
      <c r="AN348" s="632"/>
      <c r="AO348" s="730" t="s">
        <v>120</v>
      </c>
      <c r="AP348" s="731">
        <f>IF(C386="Yes",7,0)</f>
        <v>7</v>
      </c>
      <c r="AS348" s="574" t="s">
        <v>1629</v>
      </c>
    </row>
    <row r="349" spans="1:46" s="585" customFormat="1" ht="12.75" customHeight="1">
      <c r="A349" s="638"/>
      <c r="B349" s="646"/>
      <c r="C349" s="1987"/>
      <c r="D349" s="1987"/>
      <c r="E349" s="1987"/>
      <c r="F349" s="1987"/>
      <c r="G349" s="1987"/>
      <c r="H349" s="1987"/>
      <c r="I349" s="1987"/>
      <c r="J349" s="1987"/>
      <c r="K349" s="1987"/>
      <c r="L349" s="1987"/>
      <c r="M349" s="1987"/>
      <c r="N349" s="1987"/>
      <c r="O349" s="1987"/>
      <c r="P349" s="1987"/>
      <c r="Q349" s="1987"/>
      <c r="R349" s="1987"/>
      <c r="S349" s="1987"/>
      <c r="T349" s="1987"/>
      <c r="U349" s="1987"/>
      <c r="V349" s="1987"/>
      <c r="W349" s="1987"/>
      <c r="X349" s="1987"/>
      <c r="Y349" s="1987"/>
      <c r="Z349" s="1987"/>
      <c r="AA349" s="1987"/>
      <c r="AB349" s="1987"/>
      <c r="AC349" s="1987"/>
      <c r="AD349" s="1987"/>
      <c r="AE349" s="1987"/>
      <c r="AF349" s="1987"/>
      <c r="AG349" s="1987"/>
      <c r="AH349" s="1987"/>
      <c r="AI349" s="1987"/>
      <c r="AJ349" s="1987"/>
      <c r="AK349" s="638"/>
      <c r="AL349" s="638"/>
      <c r="AM349" s="638"/>
      <c r="AN349" s="632"/>
      <c r="AO349" s="632"/>
      <c r="AP349" s="731">
        <f>IF(C388="Yes",5,0)</f>
        <v>0</v>
      </c>
      <c r="AS349" s="2004">
        <f>IF(AND(AQ355&gt;0,AQ364&gt;0),(AQ355+AQ364)/2,0)</f>
        <v>0</v>
      </c>
      <c r="AT349" s="2004"/>
    </row>
    <row r="350" spans="1:46" s="585" customFormat="1" ht="12.75" customHeight="1">
      <c r="A350" s="638"/>
      <c r="B350" s="646"/>
      <c r="C350" s="1987"/>
      <c r="D350" s="1987"/>
      <c r="E350" s="1987"/>
      <c r="F350" s="1987"/>
      <c r="G350" s="1987"/>
      <c r="H350" s="1987"/>
      <c r="I350" s="1987"/>
      <c r="J350" s="1987"/>
      <c r="K350" s="1987"/>
      <c r="L350" s="1987"/>
      <c r="M350" s="1987"/>
      <c r="N350" s="1987"/>
      <c r="O350" s="1987"/>
      <c r="P350" s="1987"/>
      <c r="Q350" s="1987"/>
      <c r="R350" s="1987"/>
      <c r="S350" s="1987"/>
      <c r="T350" s="1987"/>
      <c r="U350" s="1987"/>
      <c r="V350" s="1987"/>
      <c r="W350" s="1987"/>
      <c r="X350" s="1987"/>
      <c r="Y350" s="1987"/>
      <c r="Z350" s="1987"/>
      <c r="AA350" s="1987"/>
      <c r="AB350" s="1987"/>
      <c r="AC350" s="1987"/>
      <c r="AD350" s="1987"/>
      <c r="AE350" s="1987"/>
      <c r="AF350" s="1987"/>
      <c r="AG350" s="1987"/>
      <c r="AH350" s="1987"/>
      <c r="AI350" s="1987"/>
      <c r="AJ350" s="1987"/>
      <c r="AK350" s="638"/>
      <c r="AL350" s="638"/>
      <c r="AM350" s="638"/>
      <c r="AN350" s="632"/>
      <c r="AO350" s="730" t="s">
        <v>590</v>
      </c>
      <c r="AP350" s="731">
        <f>IF(C396="Yes",5,0)</f>
        <v>0</v>
      </c>
      <c r="AS350" s="574" t="s">
        <v>2144</v>
      </c>
    </row>
    <row r="351" spans="1:46" s="585" customFormat="1" ht="12.75" customHeight="1">
      <c r="A351" s="638"/>
      <c r="B351" s="646"/>
      <c r="C351" s="2005" t="s">
        <v>1630</v>
      </c>
      <c r="D351" s="2005"/>
      <c r="E351" s="2005"/>
      <c r="F351" s="2005"/>
      <c r="G351" s="2005"/>
      <c r="H351" s="2005"/>
      <c r="I351" s="2005"/>
      <c r="J351" s="2005"/>
      <c r="K351" s="2005"/>
      <c r="L351" s="2005"/>
      <c r="M351" s="2005"/>
      <c r="N351" s="2005"/>
      <c r="O351" s="2005"/>
      <c r="P351" s="2005"/>
      <c r="Q351" s="2005"/>
      <c r="R351" s="2005"/>
      <c r="S351" s="2005"/>
      <c r="T351" s="2005"/>
      <c r="U351" s="2005"/>
      <c r="V351" s="2005"/>
      <c r="W351" s="2005"/>
      <c r="X351" s="2005"/>
      <c r="Y351" s="2005"/>
      <c r="Z351" s="2005"/>
      <c r="AA351" s="2005"/>
      <c r="AB351" s="2005"/>
      <c r="AC351" s="2005"/>
      <c r="AD351" s="2005"/>
      <c r="AE351" s="2005"/>
      <c r="AF351" s="2005"/>
      <c r="AG351" s="2005"/>
      <c r="AH351" s="2005"/>
      <c r="AI351" s="2005"/>
      <c r="AJ351" s="2005"/>
      <c r="AK351" s="638"/>
      <c r="AL351" s="638"/>
      <c r="AM351" s="638"/>
      <c r="AN351" s="632"/>
      <c r="AO351" s="632"/>
      <c r="AP351" s="731">
        <f>IF(C398="Yes",3,0)</f>
        <v>3</v>
      </c>
      <c r="AS351" s="2004">
        <f>IF(AQ355=0,AQ364,AQ355)</f>
        <v>10</v>
      </c>
      <c r="AT351" s="2004"/>
    </row>
    <row r="352" spans="1:46" s="585" customFormat="1" ht="12.75" customHeight="1">
      <c r="A352" s="638"/>
      <c r="B352" s="646"/>
      <c r="C352" s="2005"/>
      <c r="D352" s="2005"/>
      <c r="E352" s="2005"/>
      <c r="F352" s="2005"/>
      <c r="G352" s="2005"/>
      <c r="H352" s="2005"/>
      <c r="I352" s="2005"/>
      <c r="J352" s="2005"/>
      <c r="K352" s="2005"/>
      <c r="L352" s="2005"/>
      <c r="M352" s="2005"/>
      <c r="N352" s="2005"/>
      <c r="O352" s="2005"/>
      <c r="P352" s="2005"/>
      <c r="Q352" s="2005"/>
      <c r="R352" s="2005"/>
      <c r="S352" s="2005"/>
      <c r="T352" s="2005"/>
      <c r="U352" s="2005"/>
      <c r="V352" s="2005"/>
      <c r="W352" s="2005"/>
      <c r="X352" s="2005"/>
      <c r="Y352" s="2005"/>
      <c r="Z352" s="2005"/>
      <c r="AA352" s="2005"/>
      <c r="AB352" s="2005"/>
      <c r="AC352" s="2005"/>
      <c r="AD352" s="2005"/>
      <c r="AE352" s="2005"/>
      <c r="AF352" s="2005"/>
      <c r="AG352" s="2005"/>
      <c r="AH352" s="2005"/>
      <c r="AI352" s="2005"/>
      <c r="AJ352" s="2005"/>
      <c r="AK352" s="638"/>
      <c r="AL352" s="638"/>
      <c r="AM352" s="638"/>
      <c r="AN352" s="632"/>
      <c r="AO352" s="730" t="s">
        <v>787</v>
      </c>
      <c r="AP352" s="731">
        <f>IF(C401="Yes",5,0)</f>
        <v>0</v>
      </c>
    </row>
    <row r="353" spans="1:81" s="585" customFormat="1" ht="12.75" customHeight="1">
      <c r="A353" s="638"/>
      <c r="B353" s="646"/>
      <c r="C353" s="2005"/>
      <c r="D353" s="2005"/>
      <c r="E353" s="2005"/>
      <c r="F353" s="2005"/>
      <c r="G353" s="2005"/>
      <c r="H353" s="2005"/>
      <c r="I353" s="2005"/>
      <c r="J353" s="2005"/>
      <c r="K353" s="2005"/>
      <c r="L353" s="2005"/>
      <c r="M353" s="2005"/>
      <c r="N353" s="2005"/>
      <c r="O353" s="2005"/>
      <c r="P353" s="2005"/>
      <c r="Q353" s="2005"/>
      <c r="R353" s="2005"/>
      <c r="S353" s="2005"/>
      <c r="T353" s="2005"/>
      <c r="U353" s="2005"/>
      <c r="V353" s="2005"/>
      <c r="W353" s="2005"/>
      <c r="X353" s="2005"/>
      <c r="Y353" s="2005"/>
      <c r="Z353" s="2005"/>
      <c r="AA353" s="2005"/>
      <c r="AB353" s="2005"/>
      <c r="AC353" s="2005"/>
      <c r="AD353" s="2005"/>
      <c r="AE353" s="2005"/>
      <c r="AF353" s="2005"/>
      <c r="AG353" s="2005"/>
      <c r="AH353" s="2005"/>
      <c r="AI353" s="2005"/>
      <c r="AJ353" s="2005"/>
      <c r="AK353" s="638"/>
      <c r="AL353" s="638"/>
      <c r="AM353" s="638"/>
      <c r="AN353" s="632"/>
      <c r="AO353" s="730" t="s">
        <v>593</v>
      </c>
      <c r="AP353" s="731">
        <f>IF(C410="Yes",5,0)</f>
        <v>0</v>
      </c>
    </row>
    <row r="354" spans="1:81" s="585" customFormat="1" ht="11.85" customHeight="1">
      <c r="A354" s="638"/>
      <c r="B354" s="646"/>
      <c r="C354" s="2005"/>
      <c r="D354" s="2005"/>
      <c r="E354" s="2005"/>
      <c r="F354" s="2005"/>
      <c r="G354" s="2005"/>
      <c r="H354" s="2005"/>
      <c r="I354" s="2005"/>
      <c r="J354" s="2005"/>
      <c r="K354" s="2005"/>
      <c r="L354" s="2005"/>
      <c r="M354" s="2005"/>
      <c r="N354" s="2005"/>
      <c r="O354" s="2005"/>
      <c r="P354" s="2005"/>
      <c r="Q354" s="2005"/>
      <c r="R354" s="2005"/>
      <c r="S354" s="2005"/>
      <c r="T354" s="2005"/>
      <c r="U354" s="2005"/>
      <c r="V354" s="2005"/>
      <c r="W354" s="2005"/>
      <c r="X354" s="2005"/>
      <c r="Y354" s="2005"/>
      <c r="Z354" s="2005"/>
      <c r="AA354" s="2005"/>
      <c r="AB354" s="2005"/>
      <c r="AC354" s="2005"/>
      <c r="AD354" s="2005"/>
      <c r="AE354" s="2005"/>
      <c r="AF354" s="2005"/>
      <c r="AG354" s="2005"/>
      <c r="AH354" s="2005"/>
      <c r="AI354" s="2005"/>
      <c r="AJ354" s="2005"/>
      <c r="AK354" s="638"/>
      <c r="AL354" s="638"/>
      <c r="AM354" s="638"/>
      <c r="AN354" s="632"/>
      <c r="AO354" s="732"/>
      <c r="AP354" s="733">
        <f>IF(C412="Yes",3,0)</f>
        <v>0</v>
      </c>
    </row>
    <row r="355" spans="1:81" s="585" customFormat="1" ht="12.4" customHeight="1">
      <c r="A355" s="638"/>
      <c r="B355" s="646"/>
      <c r="C355" s="2005"/>
      <c r="D355" s="2005"/>
      <c r="E355" s="2005"/>
      <c r="F355" s="2005"/>
      <c r="G355" s="2005"/>
      <c r="H355" s="2005"/>
      <c r="I355" s="2005"/>
      <c r="J355" s="2005"/>
      <c r="K355" s="2005"/>
      <c r="L355" s="2005"/>
      <c r="M355" s="2005"/>
      <c r="N355" s="2005"/>
      <c r="O355" s="2005"/>
      <c r="P355" s="2005"/>
      <c r="Q355" s="2005"/>
      <c r="R355" s="2005"/>
      <c r="S355" s="2005"/>
      <c r="T355" s="2005"/>
      <c r="U355" s="2005"/>
      <c r="V355" s="2005"/>
      <c r="W355" s="2005"/>
      <c r="X355" s="2005"/>
      <c r="Y355" s="2005"/>
      <c r="Z355" s="2005"/>
      <c r="AA355" s="2005"/>
      <c r="AB355" s="2005"/>
      <c r="AC355" s="2005"/>
      <c r="AD355" s="2005"/>
      <c r="AE355" s="2005"/>
      <c r="AF355" s="2005"/>
      <c r="AG355" s="2005"/>
      <c r="AH355" s="2005"/>
      <c r="AI355" s="2005"/>
      <c r="AJ355" s="2005"/>
      <c r="AK355" s="638"/>
      <c r="AL355" s="638"/>
      <c r="AM355" s="638"/>
      <c r="AN355" s="632"/>
      <c r="AO355" s="734" t="s">
        <v>228</v>
      </c>
      <c r="AP355" s="735">
        <f>SUM(AP346:AP354)</f>
        <v>10</v>
      </c>
      <c r="AQ355" s="2006">
        <f>IF(AP355&gt;0,AP355,0)</f>
        <v>10</v>
      </c>
      <c r="AR355" s="2006"/>
    </row>
    <row r="356" spans="1:81" s="585" customFormat="1" ht="12.75" customHeight="1">
      <c r="A356" s="638"/>
      <c r="B356" s="646"/>
      <c r="C356" s="2005"/>
      <c r="D356" s="2005"/>
      <c r="E356" s="2005"/>
      <c r="F356" s="2005"/>
      <c r="G356" s="2005"/>
      <c r="H356" s="2005"/>
      <c r="I356" s="2005"/>
      <c r="J356" s="2005"/>
      <c r="K356" s="2005"/>
      <c r="L356" s="2005"/>
      <c r="M356" s="2005"/>
      <c r="N356" s="2005"/>
      <c r="O356" s="2005"/>
      <c r="P356" s="2005"/>
      <c r="Q356" s="2005"/>
      <c r="R356" s="2005"/>
      <c r="S356" s="2005"/>
      <c r="T356" s="2005"/>
      <c r="U356" s="2005"/>
      <c r="V356" s="2005"/>
      <c r="W356" s="2005"/>
      <c r="X356" s="2005"/>
      <c r="Y356" s="2005"/>
      <c r="Z356" s="2005"/>
      <c r="AA356" s="2005"/>
      <c r="AB356" s="2005"/>
      <c r="AC356" s="2005"/>
      <c r="AD356" s="2005"/>
      <c r="AE356" s="2005"/>
      <c r="AF356" s="2005"/>
      <c r="AG356" s="2005"/>
      <c r="AH356" s="2005"/>
      <c r="AI356" s="2005"/>
      <c r="AJ356" s="200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87" t="s">
        <v>1631</v>
      </c>
      <c r="D358" s="1987"/>
      <c r="E358" s="1987"/>
      <c r="F358" s="1987"/>
      <c r="G358" s="1987"/>
      <c r="H358" s="1987"/>
      <c r="I358" s="1987"/>
      <c r="J358" s="1987"/>
      <c r="K358" s="1987"/>
      <c r="L358" s="1987"/>
      <c r="M358" s="1987"/>
      <c r="N358" s="1987"/>
      <c r="O358" s="1987"/>
      <c r="P358" s="1987"/>
      <c r="Q358" s="1987"/>
      <c r="R358" s="1987"/>
      <c r="S358" s="1987"/>
      <c r="T358" s="1987"/>
      <c r="U358" s="1987"/>
      <c r="V358" s="1987"/>
      <c r="W358" s="1987"/>
      <c r="X358" s="1987"/>
      <c r="Y358" s="1987"/>
      <c r="Z358" s="1987"/>
      <c r="AA358" s="1987"/>
      <c r="AB358" s="1987"/>
      <c r="AC358" s="1987"/>
      <c r="AD358" s="1987"/>
      <c r="AE358" s="1987"/>
      <c r="AF358" s="1987"/>
      <c r="AG358" s="1987"/>
      <c r="AH358" s="1987"/>
      <c r="AI358" s="1987"/>
      <c r="AJ358" s="1987"/>
      <c r="AK358" s="638"/>
      <c r="AL358" s="638"/>
      <c r="AM358" s="638"/>
      <c r="AN358" s="632"/>
      <c r="AO358" s="730" t="s">
        <v>465</v>
      </c>
      <c r="AP358" s="731">
        <f>IF(C431="Yes",5,0)</f>
        <v>0</v>
      </c>
    </row>
    <row r="359" spans="1:81" s="585" customFormat="1" ht="12.75" customHeight="1">
      <c r="A359" s="638"/>
      <c r="B359" s="646"/>
      <c r="C359" s="1987"/>
      <c r="D359" s="1987"/>
      <c r="E359" s="1987"/>
      <c r="F359" s="1987"/>
      <c r="G359" s="1987"/>
      <c r="H359" s="1987"/>
      <c r="I359" s="1987"/>
      <c r="J359" s="1987"/>
      <c r="K359" s="1987"/>
      <c r="L359" s="1987"/>
      <c r="M359" s="1987"/>
      <c r="N359" s="1987"/>
      <c r="O359" s="1987"/>
      <c r="P359" s="1987"/>
      <c r="Q359" s="1987"/>
      <c r="R359" s="1987"/>
      <c r="S359" s="1987"/>
      <c r="T359" s="1987"/>
      <c r="U359" s="1987"/>
      <c r="V359" s="1987"/>
      <c r="W359" s="1987"/>
      <c r="X359" s="1987"/>
      <c r="Y359" s="1987"/>
      <c r="Z359" s="1987"/>
      <c r="AA359" s="1987"/>
      <c r="AB359" s="1987"/>
      <c r="AC359" s="1987"/>
      <c r="AD359" s="1987"/>
      <c r="AE359" s="1987"/>
      <c r="AF359" s="1987"/>
      <c r="AG359" s="1987"/>
      <c r="AH359" s="1987"/>
      <c r="AI359" s="1987"/>
      <c r="AJ359" s="1987"/>
      <c r="AK359" s="638"/>
      <c r="AL359" s="638"/>
      <c r="AM359" s="638"/>
      <c r="AN359" s="632"/>
      <c r="AO359" s="730" t="s">
        <v>470</v>
      </c>
      <c r="AP359" s="731">
        <f>IF(C438="Yes",5,0)</f>
        <v>0</v>
      </c>
    </row>
    <row r="360" spans="1:81" s="585" customFormat="1" ht="68.099999999999994" customHeight="1">
      <c r="A360" s="638"/>
      <c r="B360" s="646"/>
      <c r="C360" s="1987"/>
      <c r="D360" s="1987"/>
      <c r="E360" s="1987"/>
      <c r="F360" s="1987"/>
      <c r="G360" s="1987"/>
      <c r="H360" s="1987"/>
      <c r="I360" s="1987"/>
      <c r="J360" s="1987"/>
      <c r="K360" s="1987"/>
      <c r="L360" s="1987"/>
      <c r="M360" s="1987"/>
      <c r="N360" s="1987"/>
      <c r="O360" s="1987"/>
      <c r="P360" s="1987"/>
      <c r="Q360" s="1987"/>
      <c r="R360" s="1987"/>
      <c r="S360" s="1987"/>
      <c r="T360" s="1987"/>
      <c r="U360" s="1987"/>
      <c r="V360" s="1987"/>
      <c r="W360" s="1987"/>
      <c r="X360" s="1987"/>
      <c r="Y360" s="1987"/>
      <c r="Z360" s="1987"/>
      <c r="AA360" s="1987"/>
      <c r="AB360" s="1987"/>
      <c r="AC360" s="1987"/>
      <c r="AD360" s="1987"/>
      <c r="AE360" s="1987"/>
      <c r="AF360" s="1987"/>
      <c r="AG360" s="1987"/>
      <c r="AH360" s="1987"/>
      <c r="AI360" s="1987"/>
      <c r="AJ360" s="1987"/>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2">
        <f>Application!CS649-U363</f>
        <v>219</v>
      </c>
      <c r="V362" s="2092"/>
      <c r="W362" s="2092"/>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093">
        <f>Application!AG742</f>
        <v>0</v>
      </c>
      <c r="V363" s="2093"/>
      <c r="W363" s="209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06">
        <f>IF(AP364&gt;0,AP364,0)</f>
        <v>0</v>
      </c>
      <c r="AR364" s="2006"/>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1" t="s">
        <v>1636</v>
      </c>
      <c r="G366" s="1991"/>
      <c r="H366" s="1991"/>
      <c r="I366" s="1991"/>
      <c r="J366" s="1991"/>
      <c r="K366" s="1991"/>
      <c r="L366" s="1991"/>
      <c r="M366" s="1991"/>
      <c r="N366" s="1991"/>
      <c r="O366" s="1991"/>
      <c r="P366" s="1991"/>
      <c r="Q366" s="1991"/>
      <c r="R366" s="1991"/>
      <c r="S366" s="1991"/>
      <c r="T366" s="1991"/>
      <c r="U366" s="1991"/>
      <c r="V366" s="1991"/>
      <c r="W366" s="1991"/>
      <c r="X366" s="1991"/>
      <c r="Y366" s="1991"/>
      <c r="Z366" s="1991"/>
      <c r="AA366" s="1991"/>
      <c r="AB366" s="1991"/>
      <c r="AC366" s="1991"/>
      <c r="AD366" s="1991"/>
      <c r="AE366" s="1991"/>
      <c r="AF366" s="199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2"/>
      <c r="G367" s="1992"/>
      <c r="H367" s="1992"/>
      <c r="I367" s="1992"/>
      <c r="J367" s="1992"/>
      <c r="K367" s="1992"/>
      <c r="L367" s="1992"/>
      <c r="M367" s="1992"/>
      <c r="N367" s="1992"/>
      <c r="O367" s="1992"/>
      <c r="P367" s="1992"/>
      <c r="Q367" s="1992"/>
      <c r="R367" s="1992"/>
      <c r="S367" s="1992"/>
      <c r="T367" s="1992"/>
      <c r="U367" s="1992"/>
      <c r="V367" s="1992"/>
      <c r="W367" s="1992"/>
      <c r="X367" s="1992"/>
      <c r="Y367" s="1992"/>
      <c r="Z367" s="1992"/>
      <c r="AA367" s="1992"/>
      <c r="AB367" s="1992"/>
      <c r="AC367" s="1992"/>
      <c r="AD367" s="1992"/>
      <c r="AE367" s="1992"/>
      <c r="AF367" s="199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2"/>
      <c r="G368" s="1992"/>
      <c r="H368" s="1992"/>
      <c r="I368" s="1992"/>
      <c r="J368" s="1992"/>
      <c r="K368" s="1992"/>
      <c r="L368" s="1992"/>
      <c r="M368" s="1992"/>
      <c r="N368" s="1992"/>
      <c r="O368" s="1992"/>
      <c r="P368" s="1992"/>
      <c r="Q368" s="1992"/>
      <c r="R368" s="1992"/>
      <c r="S368" s="1992"/>
      <c r="T368" s="1992"/>
      <c r="U368" s="1992"/>
      <c r="V368" s="1992"/>
      <c r="W368" s="1992"/>
      <c r="X368" s="1992"/>
      <c r="Y368" s="1992"/>
      <c r="Z368" s="1992"/>
      <c r="AA368" s="1992"/>
      <c r="AB368" s="1992"/>
      <c r="AC368" s="1992"/>
      <c r="AD368" s="1992"/>
      <c r="AE368" s="1992"/>
      <c r="AF368" s="199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2"/>
      <c r="G369" s="1992"/>
      <c r="H369" s="1992"/>
      <c r="I369" s="1992"/>
      <c r="J369" s="1992"/>
      <c r="K369" s="1992"/>
      <c r="L369" s="1992"/>
      <c r="M369" s="1992"/>
      <c r="N369" s="1992"/>
      <c r="O369" s="1992"/>
      <c r="P369" s="1992"/>
      <c r="Q369" s="1992"/>
      <c r="R369" s="1992"/>
      <c r="S369" s="1992"/>
      <c r="T369" s="1992"/>
      <c r="U369" s="1992"/>
      <c r="V369" s="1992"/>
      <c r="W369" s="1992"/>
      <c r="X369" s="1992"/>
      <c r="Y369" s="1992"/>
      <c r="Z369" s="1992"/>
      <c r="AA369" s="1992"/>
      <c r="AB369" s="1992"/>
      <c r="AC369" s="1992"/>
      <c r="AD369" s="1992"/>
      <c r="AE369" s="1992"/>
      <c r="AF369" s="199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8" t="s">
        <v>600</v>
      </c>
      <c r="D370" s="1945"/>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89" t="s">
        <v>1638</v>
      </c>
      <c r="AG370" s="1989"/>
      <c r="AH370" s="1989"/>
      <c r="AI370" s="1989"/>
      <c r="AJ370" s="1989"/>
      <c r="AK370" s="1989"/>
      <c r="AL370" s="199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1" t="s">
        <v>1639</v>
      </c>
      <c r="G373" s="1991"/>
      <c r="H373" s="1991"/>
      <c r="I373" s="1991"/>
      <c r="J373" s="1991"/>
      <c r="K373" s="1991"/>
      <c r="L373" s="1991"/>
      <c r="M373" s="1991"/>
      <c r="N373" s="1991"/>
      <c r="O373" s="1991"/>
      <c r="P373" s="1991"/>
      <c r="Q373" s="1991"/>
      <c r="R373" s="1991"/>
      <c r="S373" s="1991"/>
      <c r="T373" s="1991"/>
      <c r="U373" s="1991"/>
      <c r="V373" s="1991"/>
      <c r="W373" s="1991"/>
      <c r="X373" s="1991"/>
      <c r="Y373" s="1991"/>
      <c r="Z373" s="1991"/>
      <c r="AA373" s="1991"/>
      <c r="AB373" s="1991"/>
      <c r="AC373" s="1991"/>
      <c r="AD373" s="1991"/>
      <c r="AE373" s="1991"/>
      <c r="AF373" s="199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2"/>
      <c r="G374" s="1992"/>
      <c r="H374" s="1992"/>
      <c r="I374" s="1992"/>
      <c r="J374" s="1992"/>
      <c r="K374" s="1992"/>
      <c r="L374" s="1992"/>
      <c r="M374" s="1992"/>
      <c r="N374" s="1992"/>
      <c r="O374" s="1992"/>
      <c r="P374" s="1992"/>
      <c r="Q374" s="1992"/>
      <c r="R374" s="1992"/>
      <c r="S374" s="1992"/>
      <c r="T374" s="1992"/>
      <c r="U374" s="1992"/>
      <c r="V374" s="1992"/>
      <c r="W374" s="1992"/>
      <c r="X374" s="1992"/>
      <c r="Y374" s="1992"/>
      <c r="Z374" s="1992"/>
      <c r="AA374" s="1992"/>
      <c r="AB374" s="1992"/>
      <c r="AC374" s="1992"/>
      <c r="AD374" s="1992"/>
      <c r="AE374" s="1992"/>
      <c r="AF374" s="199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2"/>
      <c r="G375" s="1992"/>
      <c r="H375" s="1992"/>
      <c r="I375" s="1992"/>
      <c r="J375" s="1992"/>
      <c r="K375" s="1992"/>
      <c r="L375" s="1992"/>
      <c r="M375" s="1992"/>
      <c r="N375" s="1992"/>
      <c r="O375" s="1992"/>
      <c r="P375" s="1992"/>
      <c r="Q375" s="1992"/>
      <c r="R375" s="1992"/>
      <c r="S375" s="1992"/>
      <c r="T375" s="1992"/>
      <c r="U375" s="1992"/>
      <c r="V375" s="1992"/>
      <c r="W375" s="1992"/>
      <c r="X375" s="1992"/>
      <c r="Y375" s="1992"/>
      <c r="Z375" s="1992"/>
      <c r="AA375" s="1992"/>
      <c r="AB375" s="1992"/>
      <c r="AC375" s="1992"/>
      <c r="AD375" s="1992"/>
      <c r="AE375" s="1992"/>
      <c r="AF375" s="199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2"/>
      <c r="G376" s="1992"/>
      <c r="H376" s="1992"/>
      <c r="I376" s="1992"/>
      <c r="J376" s="1992"/>
      <c r="K376" s="1992"/>
      <c r="L376" s="1992"/>
      <c r="M376" s="1992"/>
      <c r="N376" s="1992"/>
      <c r="O376" s="1992"/>
      <c r="P376" s="1992"/>
      <c r="Q376" s="1992"/>
      <c r="R376" s="1992"/>
      <c r="S376" s="1992"/>
      <c r="T376" s="1992"/>
      <c r="U376" s="1992"/>
      <c r="V376" s="1992"/>
      <c r="W376" s="1992"/>
      <c r="X376" s="1992"/>
      <c r="Y376" s="1992"/>
      <c r="Z376" s="1992"/>
      <c r="AA376" s="1992"/>
      <c r="AB376" s="1992"/>
      <c r="AC376" s="1992"/>
      <c r="AD376" s="1992"/>
      <c r="AE376" s="1992"/>
      <c r="AF376" s="199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2"/>
      <c r="G377" s="1992"/>
      <c r="H377" s="1992"/>
      <c r="I377" s="1992"/>
      <c r="J377" s="1992"/>
      <c r="K377" s="1992"/>
      <c r="L377" s="1992"/>
      <c r="M377" s="1992"/>
      <c r="N377" s="1992"/>
      <c r="O377" s="1992"/>
      <c r="P377" s="1992"/>
      <c r="Q377" s="1992"/>
      <c r="R377" s="1992"/>
      <c r="S377" s="1992"/>
      <c r="T377" s="1992"/>
      <c r="U377" s="1992"/>
      <c r="V377" s="1992"/>
      <c r="W377" s="1992"/>
      <c r="X377" s="1992"/>
      <c r="Y377" s="1992"/>
      <c r="Z377" s="1992"/>
      <c r="AA377" s="1992"/>
      <c r="AB377" s="1992"/>
      <c r="AC377" s="1992"/>
      <c r="AD377" s="1992"/>
      <c r="AE377" s="1992"/>
      <c r="AF377" s="1992"/>
      <c r="AL377" s="767"/>
      <c r="AN377" s="632"/>
      <c r="BS377" s="30"/>
      <c r="BT377" s="30"/>
      <c r="BU377" s="14"/>
      <c r="BV377" s="14"/>
      <c r="BW377" s="14"/>
      <c r="BX377" s="14"/>
      <c r="BY377" s="14"/>
      <c r="BZ377" s="14"/>
      <c r="CA377" s="14"/>
      <c r="CB377" s="14"/>
      <c r="CC377" s="14"/>
    </row>
    <row r="378" spans="1:81" s="585" customFormat="1" ht="12.75" customHeight="1">
      <c r="A378" s="571"/>
      <c r="B378" s="14"/>
      <c r="C378" s="1988" t="s">
        <v>600</v>
      </c>
      <c r="D378" s="1945"/>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89" t="s">
        <v>1638</v>
      </c>
      <c r="AG378" s="1989"/>
      <c r="AH378" s="1989"/>
      <c r="AI378" s="1989"/>
      <c r="AJ378" s="1989"/>
      <c r="AK378" s="1989"/>
      <c r="AL378" s="199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1" t="s">
        <v>1641</v>
      </c>
      <c r="G381" s="1991"/>
      <c r="H381" s="1991"/>
      <c r="I381" s="1991"/>
      <c r="J381" s="1991"/>
      <c r="K381" s="1991"/>
      <c r="L381" s="1991"/>
      <c r="M381" s="1991"/>
      <c r="N381" s="1991"/>
      <c r="O381" s="1991"/>
      <c r="P381" s="1991"/>
      <c r="Q381" s="1991"/>
      <c r="R381" s="1991"/>
      <c r="S381" s="1991"/>
      <c r="T381" s="1991"/>
      <c r="U381" s="1991"/>
      <c r="V381" s="1991"/>
      <c r="W381" s="1991"/>
      <c r="X381" s="1991"/>
      <c r="Y381" s="1991"/>
      <c r="Z381" s="1991"/>
      <c r="AA381" s="1991"/>
      <c r="AB381" s="1991"/>
      <c r="AC381" s="1991"/>
      <c r="AD381" s="1991"/>
      <c r="AE381" s="1991"/>
      <c r="AF381" s="199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2"/>
      <c r="G382" s="1992"/>
      <c r="H382" s="1992"/>
      <c r="I382" s="1992"/>
      <c r="J382" s="1992"/>
      <c r="K382" s="1992"/>
      <c r="L382" s="1992"/>
      <c r="M382" s="1992"/>
      <c r="N382" s="1992"/>
      <c r="O382" s="1992"/>
      <c r="P382" s="1992"/>
      <c r="Q382" s="1992"/>
      <c r="R382" s="1992"/>
      <c r="S382" s="1992"/>
      <c r="T382" s="1992"/>
      <c r="U382" s="1992"/>
      <c r="V382" s="1992"/>
      <c r="W382" s="1992"/>
      <c r="X382" s="1992"/>
      <c r="Y382" s="1992"/>
      <c r="Z382" s="1992"/>
      <c r="AA382" s="1992"/>
      <c r="AB382" s="1992"/>
      <c r="AC382" s="1992"/>
      <c r="AD382" s="1992"/>
      <c r="AE382" s="1992"/>
      <c r="AF382" s="199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2"/>
      <c r="G383" s="1992"/>
      <c r="H383" s="1992"/>
      <c r="I383" s="1992"/>
      <c r="J383" s="1992"/>
      <c r="K383" s="1992"/>
      <c r="L383" s="1992"/>
      <c r="M383" s="1992"/>
      <c r="N383" s="1992"/>
      <c r="O383" s="1992"/>
      <c r="P383" s="1992"/>
      <c r="Q383" s="1992"/>
      <c r="R383" s="1992"/>
      <c r="S383" s="1992"/>
      <c r="T383" s="1992"/>
      <c r="U383" s="1992"/>
      <c r="V383" s="1992"/>
      <c r="W383" s="1992"/>
      <c r="X383" s="1992"/>
      <c r="Y383" s="1992"/>
      <c r="Z383" s="1992"/>
      <c r="AA383" s="1992"/>
      <c r="AB383" s="1992"/>
      <c r="AC383" s="1992"/>
      <c r="AD383" s="1992"/>
      <c r="AE383" s="1992"/>
      <c r="AF383" s="199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2"/>
      <c r="G384" s="1992"/>
      <c r="H384" s="1992"/>
      <c r="I384" s="1992"/>
      <c r="J384" s="1992"/>
      <c r="K384" s="1992"/>
      <c r="L384" s="1992"/>
      <c r="M384" s="1992"/>
      <c r="N384" s="1992"/>
      <c r="O384" s="1992"/>
      <c r="P384" s="1992"/>
      <c r="Q384" s="1992"/>
      <c r="R384" s="1992"/>
      <c r="S384" s="1992"/>
      <c r="T384" s="1992"/>
      <c r="U384" s="1992"/>
      <c r="V384" s="1992"/>
      <c r="W384" s="1992"/>
      <c r="X384" s="1992"/>
      <c r="Y384" s="1992"/>
      <c r="Z384" s="1992"/>
      <c r="AA384" s="1992"/>
      <c r="AB384" s="1992"/>
      <c r="AC384" s="1992"/>
      <c r="AD384" s="1992"/>
      <c r="AE384" s="1992"/>
      <c r="AF384" s="199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2"/>
      <c r="G385" s="1992"/>
      <c r="H385" s="1992"/>
      <c r="I385" s="1992"/>
      <c r="J385" s="1992"/>
      <c r="K385" s="1992"/>
      <c r="L385" s="1992"/>
      <c r="M385" s="1992"/>
      <c r="N385" s="1992"/>
      <c r="O385" s="1992"/>
      <c r="P385" s="1992"/>
      <c r="Q385" s="1992"/>
      <c r="R385" s="1992"/>
      <c r="S385" s="1992"/>
      <c r="T385" s="1992"/>
      <c r="U385" s="1992"/>
      <c r="V385" s="1992"/>
      <c r="W385" s="1992"/>
      <c r="X385" s="1992"/>
      <c r="Y385" s="1992"/>
      <c r="Z385" s="1992"/>
      <c r="AA385" s="1992"/>
      <c r="AB385" s="1992"/>
      <c r="AC385" s="1992"/>
      <c r="AD385" s="1992"/>
      <c r="AE385" s="1992"/>
      <c r="AF385" s="199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8" t="s">
        <v>554</v>
      </c>
      <c r="D386" s="1945"/>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89" t="s">
        <v>1643</v>
      </c>
      <c r="AG386" s="1989"/>
      <c r="AH386" s="1989"/>
      <c r="AI386" s="1989"/>
      <c r="AJ386" s="1989"/>
      <c r="AK386" s="1989"/>
      <c r="AL386" s="199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8" t="s">
        <v>600</v>
      </c>
      <c r="D388" s="1945"/>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89" t="s">
        <v>1638</v>
      </c>
      <c r="AG388" s="1989"/>
      <c r="AH388" s="1989"/>
      <c r="AI388" s="1989"/>
      <c r="AJ388" s="1989"/>
      <c r="AK388" s="1989"/>
      <c r="AL388" s="199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1" t="s">
        <v>1647</v>
      </c>
      <c r="G392" s="1991"/>
      <c r="H392" s="1991"/>
      <c r="I392" s="1991"/>
      <c r="J392" s="1991"/>
      <c r="K392" s="1991"/>
      <c r="L392" s="1991"/>
      <c r="M392" s="1991"/>
      <c r="N392" s="1991"/>
      <c r="O392" s="1991"/>
      <c r="P392" s="1991"/>
      <c r="Q392" s="1991"/>
      <c r="R392" s="1991"/>
      <c r="S392" s="1991"/>
      <c r="T392" s="1991"/>
      <c r="U392" s="1991"/>
      <c r="V392" s="1991"/>
      <c r="W392" s="1991"/>
      <c r="X392" s="1991"/>
      <c r="Y392" s="1991"/>
      <c r="Z392" s="1991"/>
      <c r="AA392" s="1991"/>
      <c r="AB392" s="1991"/>
      <c r="AC392" s="1991"/>
      <c r="AD392" s="1991"/>
      <c r="AE392" s="1991"/>
      <c r="AF392" s="199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2"/>
      <c r="G393" s="1992"/>
      <c r="H393" s="1992"/>
      <c r="I393" s="1992"/>
      <c r="J393" s="1992"/>
      <c r="K393" s="1992"/>
      <c r="L393" s="1992"/>
      <c r="M393" s="1992"/>
      <c r="N393" s="1992"/>
      <c r="O393" s="1992"/>
      <c r="P393" s="1992"/>
      <c r="Q393" s="1992"/>
      <c r="R393" s="1992"/>
      <c r="S393" s="1992"/>
      <c r="T393" s="1992"/>
      <c r="U393" s="1992"/>
      <c r="V393" s="1992"/>
      <c r="W393" s="1992"/>
      <c r="X393" s="1992"/>
      <c r="Y393" s="1992"/>
      <c r="Z393" s="1992"/>
      <c r="AA393" s="1992"/>
      <c r="AB393" s="1992"/>
      <c r="AC393" s="1992"/>
      <c r="AD393" s="1992"/>
      <c r="AE393" s="1992"/>
      <c r="AF393" s="199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2"/>
      <c r="G394" s="1992"/>
      <c r="H394" s="1992"/>
      <c r="I394" s="1992"/>
      <c r="J394" s="1992"/>
      <c r="K394" s="1992"/>
      <c r="L394" s="1992"/>
      <c r="M394" s="1992"/>
      <c r="N394" s="1992"/>
      <c r="O394" s="1992"/>
      <c r="P394" s="1992"/>
      <c r="Q394" s="1992"/>
      <c r="R394" s="1992"/>
      <c r="S394" s="1992"/>
      <c r="T394" s="1992"/>
      <c r="U394" s="1992"/>
      <c r="V394" s="1992"/>
      <c r="W394" s="1992"/>
      <c r="X394" s="1992"/>
      <c r="Y394" s="1992"/>
      <c r="Z394" s="1992"/>
      <c r="AA394" s="1992"/>
      <c r="AB394" s="1992"/>
      <c r="AC394" s="1992"/>
      <c r="AD394" s="1992"/>
      <c r="AE394" s="1992"/>
      <c r="AF394" s="199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2"/>
      <c r="G395" s="1992"/>
      <c r="H395" s="1992"/>
      <c r="I395" s="1992"/>
      <c r="J395" s="1992"/>
      <c r="K395" s="1992"/>
      <c r="L395" s="1992"/>
      <c r="M395" s="1992"/>
      <c r="N395" s="1992"/>
      <c r="O395" s="1992"/>
      <c r="P395" s="1992"/>
      <c r="Q395" s="1992"/>
      <c r="R395" s="1992"/>
      <c r="S395" s="1992"/>
      <c r="T395" s="1992"/>
      <c r="U395" s="1992"/>
      <c r="V395" s="1992"/>
      <c r="W395" s="1992"/>
      <c r="X395" s="1992"/>
      <c r="Y395" s="1992"/>
      <c r="Z395" s="1992"/>
      <c r="AA395" s="1992"/>
      <c r="AB395" s="1992"/>
      <c r="AC395" s="1992"/>
      <c r="AD395" s="1992"/>
      <c r="AE395" s="1992"/>
      <c r="AF395" s="199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8" t="s">
        <v>600</v>
      </c>
      <c r="D396" s="1945"/>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89" t="s">
        <v>1638</v>
      </c>
      <c r="AG396" s="1989"/>
      <c r="AH396" s="1989"/>
      <c r="AI396" s="1989"/>
      <c r="AJ396" s="1989"/>
      <c r="AK396" s="1989"/>
      <c r="AL396" s="199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8" t="s">
        <v>554</v>
      </c>
      <c r="D398" s="1945"/>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89" t="s">
        <v>1650</v>
      </c>
      <c r="AG398" s="1989"/>
      <c r="AH398" s="1989"/>
      <c r="AI398" s="1989"/>
      <c r="AJ398" s="1989"/>
      <c r="AK398" s="1989"/>
      <c r="AL398" s="199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8" t="s">
        <v>600</v>
      </c>
      <c r="D401" s="1945"/>
      <c r="E401" s="750" t="s">
        <v>1651</v>
      </c>
      <c r="F401" s="1991" t="s">
        <v>1652</v>
      </c>
      <c r="G401" s="1991"/>
      <c r="H401" s="1991"/>
      <c r="I401" s="1991"/>
      <c r="J401" s="1991"/>
      <c r="K401" s="1991"/>
      <c r="L401" s="1991"/>
      <c r="M401" s="1991"/>
      <c r="N401" s="1991"/>
      <c r="O401" s="1991"/>
      <c r="P401" s="1991"/>
      <c r="Q401" s="1991"/>
      <c r="R401" s="1991"/>
      <c r="S401" s="1991"/>
      <c r="T401" s="1991"/>
      <c r="U401" s="1991"/>
      <c r="V401" s="1991"/>
      <c r="W401" s="1991"/>
      <c r="X401" s="1991"/>
      <c r="Y401" s="1991"/>
      <c r="Z401" s="1991"/>
      <c r="AA401" s="1991"/>
      <c r="AB401" s="1991"/>
      <c r="AC401" s="1991"/>
      <c r="AD401" s="1991"/>
      <c r="AE401" s="199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2"/>
      <c r="G402" s="1992"/>
      <c r="H402" s="1992"/>
      <c r="I402" s="1992"/>
      <c r="J402" s="1992"/>
      <c r="K402" s="1992"/>
      <c r="L402" s="1992"/>
      <c r="M402" s="1992"/>
      <c r="N402" s="1992"/>
      <c r="O402" s="1992"/>
      <c r="P402" s="1992"/>
      <c r="Q402" s="1992"/>
      <c r="R402" s="1992"/>
      <c r="S402" s="1992"/>
      <c r="T402" s="1992"/>
      <c r="U402" s="1992"/>
      <c r="V402" s="1992"/>
      <c r="W402" s="1992"/>
      <c r="X402" s="1992"/>
      <c r="Y402" s="1992"/>
      <c r="Z402" s="1992"/>
      <c r="AA402" s="1992"/>
      <c r="AB402" s="1992"/>
      <c r="AC402" s="1992"/>
      <c r="AD402" s="1992"/>
      <c r="AE402" s="1992"/>
      <c r="AF402" s="1915" t="s">
        <v>1638</v>
      </c>
      <c r="AG402" s="1915"/>
      <c r="AH402" s="1915"/>
      <c r="AI402" s="1915"/>
      <c r="AJ402" s="1915"/>
      <c r="AK402" s="1915"/>
      <c r="AL402" s="1993"/>
      <c r="AM402" s="605"/>
      <c r="AN402" s="632"/>
      <c r="BS402" s="605"/>
      <c r="BT402" s="605"/>
      <c r="BY402" s="605"/>
      <c r="BZ402" s="605"/>
      <c r="CA402" s="605"/>
      <c r="CB402" s="605"/>
      <c r="CC402" s="605"/>
    </row>
    <row r="403" spans="1:81" s="585" customFormat="1" ht="12.75" customHeight="1">
      <c r="A403" s="571"/>
      <c r="B403" s="14"/>
      <c r="C403" s="766"/>
      <c r="D403" s="14"/>
      <c r="E403" s="726"/>
      <c r="F403" s="1992"/>
      <c r="G403" s="1992"/>
      <c r="H403" s="1992"/>
      <c r="I403" s="1992"/>
      <c r="J403" s="1992"/>
      <c r="K403" s="1992"/>
      <c r="L403" s="1992"/>
      <c r="M403" s="1992"/>
      <c r="N403" s="1992"/>
      <c r="O403" s="1992"/>
      <c r="P403" s="1992"/>
      <c r="Q403" s="1992"/>
      <c r="R403" s="1992"/>
      <c r="S403" s="1992"/>
      <c r="T403" s="1992"/>
      <c r="U403" s="1992"/>
      <c r="V403" s="1992"/>
      <c r="W403" s="1992"/>
      <c r="X403" s="1992"/>
      <c r="Y403" s="1992"/>
      <c r="Z403" s="1992"/>
      <c r="AA403" s="1992"/>
      <c r="AB403" s="1992"/>
      <c r="AC403" s="1992"/>
      <c r="AD403" s="1992"/>
      <c r="AE403" s="199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1" t="s">
        <v>1654</v>
      </c>
      <c r="G406" s="1991"/>
      <c r="H406" s="1991"/>
      <c r="I406" s="1991"/>
      <c r="J406" s="1991"/>
      <c r="K406" s="1991"/>
      <c r="L406" s="1991"/>
      <c r="M406" s="1991"/>
      <c r="N406" s="1991"/>
      <c r="O406" s="1991"/>
      <c r="P406" s="1991"/>
      <c r="Q406" s="1991"/>
      <c r="R406" s="1991"/>
      <c r="S406" s="1991"/>
      <c r="T406" s="1991"/>
      <c r="U406" s="1991"/>
      <c r="V406" s="1991"/>
      <c r="W406" s="1991"/>
      <c r="X406" s="1991"/>
      <c r="Y406" s="1991"/>
      <c r="Z406" s="1991"/>
      <c r="AA406" s="1991"/>
      <c r="AB406" s="1991"/>
      <c r="AC406" s="1991"/>
      <c r="AD406" s="1991"/>
      <c r="AE406" s="1991"/>
      <c r="AF406" s="782"/>
      <c r="AG406" s="782"/>
      <c r="AH406" s="782"/>
      <c r="AI406" s="782"/>
      <c r="AJ406" s="782"/>
      <c r="AK406" s="782"/>
      <c r="AL406" s="783"/>
      <c r="AM406" s="605"/>
    </row>
    <row r="407" spans="1:81">
      <c r="A407" s="571"/>
      <c r="C407" s="766"/>
      <c r="E407" s="726"/>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574"/>
      <c r="AG407" s="571"/>
      <c r="AH407" s="585"/>
      <c r="AI407" s="585"/>
      <c r="AJ407" s="585"/>
      <c r="AK407" s="585"/>
      <c r="AL407" s="767"/>
      <c r="AM407" s="605"/>
    </row>
    <row r="408" spans="1:81" s="585" customFormat="1" ht="12.75" customHeight="1">
      <c r="A408" s="571"/>
      <c r="B408" s="14"/>
      <c r="C408" s="766"/>
      <c r="D408" s="14"/>
      <c r="E408" s="726"/>
      <c r="F408" s="1992"/>
      <c r="G408" s="1992"/>
      <c r="H408" s="1992"/>
      <c r="I408" s="1992"/>
      <c r="J408" s="1992"/>
      <c r="K408" s="1992"/>
      <c r="L408" s="1992"/>
      <c r="M408" s="1992"/>
      <c r="N408" s="1992"/>
      <c r="O408" s="1992"/>
      <c r="P408" s="1992"/>
      <c r="Q408" s="1992"/>
      <c r="R408" s="1992"/>
      <c r="S408" s="1992"/>
      <c r="T408" s="1992"/>
      <c r="U408" s="1992"/>
      <c r="V408" s="1992"/>
      <c r="W408" s="1992"/>
      <c r="X408" s="1992"/>
      <c r="Y408" s="1992"/>
      <c r="Z408" s="1992"/>
      <c r="AA408" s="1992"/>
      <c r="AB408" s="1992"/>
      <c r="AC408" s="1992"/>
      <c r="AD408" s="1992"/>
      <c r="AE408" s="1992"/>
      <c r="AL408" s="767"/>
      <c r="AM408" s="605"/>
      <c r="AN408" s="632"/>
    </row>
    <row r="409" spans="1:81" s="585" customFormat="1" ht="12.75" customHeight="1">
      <c r="A409" s="571"/>
      <c r="B409" s="14"/>
      <c r="C409" s="774"/>
      <c r="F409" s="1992"/>
      <c r="G409" s="1992"/>
      <c r="H409" s="1992"/>
      <c r="I409" s="1992"/>
      <c r="J409" s="1992"/>
      <c r="K409" s="1992"/>
      <c r="L409" s="1992"/>
      <c r="M409" s="1992"/>
      <c r="N409" s="1992"/>
      <c r="O409" s="1992"/>
      <c r="P409" s="1992"/>
      <c r="Q409" s="1992"/>
      <c r="R409" s="1992"/>
      <c r="S409" s="1992"/>
      <c r="T409" s="1992"/>
      <c r="U409" s="1992"/>
      <c r="V409" s="1992"/>
      <c r="W409" s="1992"/>
      <c r="X409" s="1992"/>
      <c r="Y409" s="1992"/>
      <c r="Z409" s="1992"/>
      <c r="AA409" s="1992"/>
      <c r="AB409" s="1992"/>
      <c r="AC409" s="1992"/>
      <c r="AD409" s="1992"/>
      <c r="AE409" s="1992"/>
      <c r="AL409" s="767"/>
      <c r="AM409" s="605"/>
      <c r="AN409" s="632"/>
    </row>
    <row r="410" spans="1:81" s="585" customFormat="1" ht="12.75" customHeight="1">
      <c r="A410" s="571"/>
      <c r="B410" s="14"/>
      <c r="C410" s="1988" t="s">
        <v>600</v>
      </c>
      <c r="D410" s="1945"/>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5" t="s">
        <v>1638</v>
      </c>
      <c r="AG410" s="1915"/>
      <c r="AH410" s="1915"/>
      <c r="AI410" s="1915"/>
      <c r="AJ410" s="1915"/>
      <c r="AK410" s="1915"/>
      <c r="AL410" s="1993"/>
      <c r="AM410" s="605"/>
      <c r="AN410" s="632"/>
    </row>
    <row r="411" spans="1:81" s="585" customFormat="1" ht="12.75" customHeight="1">
      <c r="A411" s="571"/>
      <c r="B411" s="14"/>
      <c r="C411" s="774"/>
      <c r="AL411" s="767"/>
      <c r="AM411" s="605"/>
      <c r="AN411" s="632"/>
    </row>
    <row r="412" spans="1:81" s="585" customFormat="1" ht="12.75" customHeight="1">
      <c r="A412" s="571"/>
      <c r="B412" s="14"/>
      <c r="C412" s="1988" t="s">
        <v>600</v>
      </c>
      <c r="D412" s="1945"/>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5" t="s">
        <v>1650</v>
      </c>
      <c r="AG412" s="1915"/>
      <c r="AH412" s="1915"/>
      <c r="AI412" s="1915"/>
      <c r="AJ412" s="1915"/>
      <c r="AK412" s="1915"/>
      <c r="AL412" s="199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1" t="s">
        <v>1659</v>
      </c>
      <c r="G416" s="1991"/>
      <c r="H416" s="1991"/>
      <c r="I416" s="1991"/>
      <c r="J416" s="1991"/>
      <c r="K416" s="1991"/>
      <c r="L416" s="1991"/>
      <c r="M416" s="1991"/>
      <c r="N416" s="1991"/>
      <c r="O416" s="1991"/>
      <c r="P416" s="1991"/>
      <c r="Q416" s="1991"/>
      <c r="R416" s="1991"/>
      <c r="S416" s="1991"/>
      <c r="T416" s="1991"/>
      <c r="U416" s="1991"/>
      <c r="V416" s="1991"/>
      <c r="W416" s="1991"/>
      <c r="X416" s="1991"/>
      <c r="Y416" s="1991"/>
      <c r="Z416" s="1991"/>
      <c r="AA416" s="1991"/>
      <c r="AB416" s="1991"/>
      <c r="AC416" s="1991"/>
      <c r="AD416" s="1991"/>
      <c r="AE416" s="1991"/>
      <c r="AF416" s="749"/>
      <c r="AG416" s="749"/>
      <c r="AH416" s="749"/>
      <c r="AI416" s="749"/>
      <c r="AJ416" s="749"/>
      <c r="AK416" s="749"/>
      <c r="AL416" s="780"/>
      <c r="AM416" s="605"/>
      <c r="AN416" s="632"/>
    </row>
    <row r="417" spans="1:60" s="585" customFormat="1" ht="12.75" customHeight="1">
      <c r="A417" s="571"/>
      <c r="B417" s="14"/>
      <c r="C417" s="766"/>
      <c r="D417" s="14"/>
      <c r="E417" s="726"/>
      <c r="F417" s="1992"/>
      <c r="G417" s="1992"/>
      <c r="H417" s="1992"/>
      <c r="I417" s="1992"/>
      <c r="J417" s="1992"/>
      <c r="K417" s="1992"/>
      <c r="L417" s="1992"/>
      <c r="M417" s="1992"/>
      <c r="N417" s="1992"/>
      <c r="O417" s="1992"/>
      <c r="P417" s="1992"/>
      <c r="Q417" s="1992"/>
      <c r="R417" s="1992"/>
      <c r="S417" s="1992"/>
      <c r="T417" s="1992"/>
      <c r="U417" s="1992"/>
      <c r="V417" s="1992"/>
      <c r="W417" s="1992"/>
      <c r="X417" s="1992"/>
      <c r="Y417" s="1992"/>
      <c r="Z417" s="1992"/>
      <c r="AA417" s="1992"/>
      <c r="AB417" s="1992"/>
      <c r="AC417" s="1992"/>
      <c r="AD417" s="1992"/>
      <c r="AE417" s="1992"/>
      <c r="AF417" s="574"/>
      <c r="AG417" s="571"/>
      <c r="AL417" s="767"/>
      <c r="AM417" s="605"/>
      <c r="AN417" s="632"/>
    </row>
    <row r="418" spans="1:60" s="585" customFormat="1" ht="12.4" customHeight="1">
      <c r="A418" s="571"/>
      <c r="B418" s="14"/>
      <c r="C418" s="766"/>
      <c r="D418" s="14"/>
      <c r="E418" s="726"/>
      <c r="F418" s="1992"/>
      <c r="G418" s="1992"/>
      <c r="H418" s="1992"/>
      <c r="I418" s="1992"/>
      <c r="J418" s="1992"/>
      <c r="K418" s="1992"/>
      <c r="L418" s="1992"/>
      <c r="M418" s="1992"/>
      <c r="N418" s="1992"/>
      <c r="O418" s="1992"/>
      <c r="P418" s="1992"/>
      <c r="Q418" s="1992"/>
      <c r="R418" s="1992"/>
      <c r="S418" s="1992"/>
      <c r="T418" s="1992"/>
      <c r="U418" s="1992"/>
      <c r="V418" s="1992"/>
      <c r="W418" s="1992"/>
      <c r="X418" s="1992"/>
      <c r="Y418" s="1992"/>
      <c r="Z418" s="1992"/>
      <c r="AA418" s="1992"/>
      <c r="AB418" s="1992"/>
      <c r="AC418" s="1992"/>
      <c r="AD418" s="1992"/>
      <c r="AE418" s="1992"/>
      <c r="AL418" s="767"/>
      <c r="AM418" s="605"/>
      <c r="AN418" s="632"/>
    </row>
    <row r="419" spans="1:60" s="585" customFormat="1" ht="12.75" customHeight="1">
      <c r="A419" s="571"/>
      <c r="B419" s="14"/>
      <c r="C419" s="1988" t="s">
        <v>600</v>
      </c>
      <c r="D419" s="1945"/>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5" t="s">
        <v>1638</v>
      </c>
      <c r="AG419" s="1915"/>
      <c r="AH419" s="1915"/>
      <c r="AI419" s="1915"/>
      <c r="AJ419" s="1915"/>
      <c r="AK419" s="1915"/>
      <c r="AL419" s="199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1991" t="s">
        <v>1662</v>
      </c>
      <c r="G422" s="1991"/>
      <c r="H422" s="1991"/>
      <c r="I422" s="1991"/>
      <c r="J422" s="1991"/>
      <c r="K422" s="1991"/>
      <c r="L422" s="1991"/>
      <c r="M422" s="1991"/>
      <c r="N422" s="1991"/>
      <c r="O422" s="1991"/>
      <c r="P422" s="1991"/>
      <c r="Q422" s="1991"/>
      <c r="R422" s="1991"/>
      <c r="S422" s="1991"/>
      <c r="T422" s="1991"/>
      <c r="U422" s="1991"/>
      <c r="V422" s="1991"/>
      <c r="W422" s="1991"/>
      <c r="X422" s="1991"/>
      <c r="Y422" s="1991"/>
      <c r="Z422" s="1991"/>
      <c r="AA422" s="1991"/>
      <c r="AB422" s="1991"/>
      <c r="AC422" s="1991"/>
      <c r="AD422" s="1991"/>
      <c r="AE422" s="1991"/>
      <c r="AF422" s="782"/>
      <c r="AG422" s="782"/>
      <c r="AH422" s="782"/>
      <c r="AI422" s="782"/>
      <c r="AJ422" s="782"/>
      <c r="AK422" s="782"/>
      <c r="AL422" s="783"/>
      <c r="AM422" s="605"/>
      <c r="AO422" s="585"/>
      <c r="AP422" s="585"/>
      <c r="BD422" s="14"/>
      <c r="BE422" s="14"/>
      <c r="BF422" s="14"/>
      <c r="BG422" s="14"/>
      <c r="BH422" s="14"/>
    </row>
    <row r="423" spans="1:60">
      <c r="A423" s="571"/>
      <c r="C423" s="766"/>
      <c r="E423" s="726"/>
      <c r="F423" s="1992"/>
      <c r="G423" s="1992"/>
      <c r="H423" s="1992"/>
      <c r="I423" s="1992"/>
      <c r="J423" s="1992"/>
      <c r="K423" s="1992"/>
      <c r="L423" s="1992"/>
      <c r="M423" s="1992"/>
      <c r="N423" s="1992"/>
      <c r="O423" s="1992"/>
      <c r="P423" s="1992"/>
      <c r="Q423" s="1992"/>
      <c r="R423" s="1992"/>
      <c r="S423" s="1992"/>
      <c r="T423" s="1992"/>
      <c r="U423" s="1992"/>
      <c r="V423" s="1992"/>
      <c r="W423" s="1992"/>
      <c r="X423" s="1992"/>
      <c r="Y423" s="1992"/>
      <c r="Z423" s="1992"/>
      <c r="AA423" s="1992"/>
      <c r="AB423" s="1992"/>
      <c r="AC423" s="1992"/>
      <c r="AD423" s="1992"/>
      <c r="AE423" s="1992"/>
      <c r="AF423" s="629"/>
      <c r="AG423" s="629"/>
      <c r="AH423" s="629"/>
      <c r="AI423" s="629"/>
      <c r="AJ423" s="629"/>
      <c r="AK423" s="629"/>
      <c r="AL423" s="786"/>
      <c r="AM423" s="605"/>
      <c r="AO423" s="585"/>
      <c r="AP423" s="585"/>
    </row>
    <row r="424" spans="1:60" s="585" customFormat="1" ht="12.75" customHeight="1">
      <c r="A424" s="571"/>
      <c r="B424" s="14"/>
      <c r="C424" s="766"/>
      <c r="D424" s="14"/>
      <c r="E424" s="726"/>
      <c r="F424" s="1992"/>
      <c r="G424" s="1992"/>
      <c r="H424" s="1992"/>
      <c r="I424" s="1992"/>
      <c r="J424" s="1992"/>
      <c r="K424" s="1992"/>
      <c r="L424" s="1992"/>
      <c r="M424" s="1992"/>
      <c r="N424" s="1992"/>
      <c r="O424" s="1992"/>
      <c r="P424" s="1992"/>
      <c r="Q424" s="1992"/>
      <c r="R424" s="1992"/>
      <c r="S424" s="1992"/>
      <c r="T424" s="1992"/>
      <c r="U424" s="1992"/>
      <c r="V424" s="1992"/>
      <c r="W424" s="1992"/>
      <c r="X424" s="1992"/>
      <c r="Y424" s="1992"/>
      <c r="Z424" s="1992"/>
      <c r="AA424" s="1992"/>
      <c r="AB424" s="1992"/>
      <c r="AC424" s="1992"/>
      <c r="AD424" s="1992"/>
      <c r="AE424" s="1992"/>
      <c r="AF424" s="629"/>
      <c r="AG424" s="629"/>
      <c r="AH424" s="629"/>
      <c r="AI424" s="629"/>
      <c r="AJ424" s="629"/>
      <c r="AK424" s="629"/>
      <c r="AL424" s="786"/>
      <c r="AM424" s="605"/>
      <c r="AN424" s="632"/>
    </row>
    <row r="425" spans="1:60" s="585" customFormat="1" ht="12.75" customHeight="1">
      <c r="A425" s="571"/>
      <c r="B425" s="14"/>
      <c r="C425" s="787"/>
      <c r="D425" s="765"/>
      <c r="E425" s="754"/>
      <c r="F425" s="1992"/>
      <c r="G425" s="1992"/>
      <c r="H425" s="1992"/>
      <c r="I425" s="1992"/>
      <c r="J425" s="1992"/>
      <c r="K425" s="1992"/>
      <c r="L425" s="1992"/>
      <c r="M425" s="1992"/>
      <c r="N425" s="1992"/>
      <c r="O425" s="1992"/>
      <c r="P425" s="1992"/>
      <c r="Q425" s="1992"/>
      <c r="R425" s="1992"/>
      <c r="S425" s="1992"/>
      <c r="T425" s="1992"/>
      <c r="U425" s="1992"/>
      <c r="V425" s="1992"/>
      <c r="W425" s="1992"/>
      <c r="X425" s="1992"/>
      <c r="Y425" s="1992"/>
      <c r="Z425" s="1992"/>
      <c r="AA425" s="1992"/>
      <c r="AB425" s="1992"/>
      <c r="AC425" s="1992"/>
      <c r="AD425" s="1992"/>
      <c r="AE425" s="199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2"/>
      <c r="G426" s="1992"/>
      <c r="H426" s="1992"/>
      <c r="I426" s="1992"/>
      <c r="J426" s="1992"/>
      <c r="K426" s="1992"/>
      <c r="L426" s="1992"/>
      <c r="M426" s="1992"/>
      <c r="N426" s="1992"/>
      <c r="O426" s="1992"/>
      <c r="P426" s="1992"/>
      <c r="Q426" s="1992"/>
      <c r="R426" s="1992"/>
      <c r="S426" s="1992"/>
      <c r="T426" s="1992"/>
      <c r="U426" s="1992"/>
      <c r="V426" s="1992"/>
      <c r="W426" s="1992"/>
      <c r="X426" s="1992"/>
      <c r="Y426" s="1992"/>
      <c r="Z426" s="1992"/>
      <c r="AA426" s="1992"/>
      <c r="AB426" s="1992"/>
      <c r="AC426" s="1992"/>
      <c r="AD426" s="1992"/>
      <c r="AE426" s="1992"/>
      <c r="AF426" s="629"/>
      <c r="AG426" s="629"/>
      <c r="AH426" s="629"/>
      <c r="AI426" s="629"/>
      <c r="AJ426" s="629"/>
      <c r="AK426" s="629"/>
      <c r="AL426" s="786"/>
      <c r="AM426" s="605"/>
      <c r="AN426" s="632"/>
    </row>
    <row r="427" spans="1:60" s="585" customFormat="1" ht="12.75" customHeight="1">
      <c r="A427" s="571"/>
      <c r="B427" s="14"/>
      <c r="C427" s="787"/>
      <c r="D427" s="765"/>
      <c r="E427" s="754"/>
      <c r="F427" s="1992"/>
      <c r="G427" s="1992"/>
      <c r="H427" s="1992"/>
      <c r="I427" s="1992"/>
      <c r="J427" s="1992"/>
      <c r="K427" s="1992"/>
      <c r="L427" s="1992"/>
      <c r="M427" s="1992"/>
      <c r="N427" s="1992"/>
      <c r="O427" s="1992"/>
      <c r="P427" s="1992"/>
      <c r="Q427" s="1992"/>
      <c r="R427" s="1992"/>
      <c r="S427" s="1992"/>
      <c r="T427" s="1992"/>
      <c r="U427" s="1992"/>
      <c r="V427" s="1992"/>
      <c r="W427" s="1992"/>
      <c r="X427" s="1992"/>
      <c r="Y427" s="1992"/>
      <c r="Z427" s="1992"/>
      <c r="AA427" s="1992"/>
      <c r="AB427" s="1992"/>
      <c r="AC427" s="1992"/>
      <c r="AD427" s="1992"/>
      <c r="AE427" s="1992"/>
      <c r="AF427" s="629"/>
      <c r="AG427" s="629"/>
      <c r="AH427" s="629"/>
      <c r="AI427" s="629"/>
      <c r="AJ427" s="629"/>
      <c r="AK427" s="629"/>
      <c r="AL427" s="786"/>
      <c r="AM427" s="605"/>
      <c r="AN427" s="632"/>
    </row>
    <row r="428" spans="1:60" s="585" customFormat="1" ht="12.75" customHeight="1">
      <c r="A428" s="571"/>
      <c r="B428" s="14"/>
      <c r="C428" s="787"/>
      <c r="D428" s="765"/>
      <c r="E428" s="754"/>
      <c r="F428" s="1992"/>
      <c r="G428" s="1992"/>
      <c r="H428" s="1992"/>
      <c r="I428" s="1992"/>
      <c r="J428" s="1992"/>
      <c r="K428" s="1992"/>
      <c r="L428" s="1992"/>
      <c r="M428" s="1992"/>
      <c r="N428" s="1992"/>
      <c r="O428" s="1992"/>
      <c r="P428" s="1992"/>
      <c r="Q428" s="1992"/>
      <c r="R428" s="1992"/>
      <c r="S428" s="1992"/>
      <c r="T428" s="1992"/>
      <c r="U428" s="1992"/>
      <c r="V428" s="1992"/>
      <c r="W428" s="1992"/>
      <c r="X428" s="1992"/>
      <c r="Y428" s="1992"/>
      <c r="Z428" s="1992"/>
      <c r="AA428" s="1992"/>
      <c r="AB428" s="1992"/>
      <c r="AC428" s="1992"/>
      <c r="AD428" s="1992"/>
      <c r="AE428" s="1992"/>
      <c r="AF428" s="629"/>
      <c r="AG428" s="629"/>
      <c r="AH428" s="629"/>
      <c r="AI428" s="629"/>
      <c r="AJ428" s="629"/>
      <c r="AK428" s="629"/>
      <c r="AL428" s="786"/>
      <c r="AM428" s="605"/>
      <c r="AN428" s="632"/>
    </row>
    <row r="429" spans="1:60" s="585" customFormat="1" ht="12.75" customHeight="1">
      <c r="A429" s="571"/>
      <c r="B429" s="14"/>
      <c r="C429" s="787"/>
      <c r="D429" s="765"/>
      <c r="E429" s="754"/>
      <c r="F429" s="1992"/>
      <c r="G429" s="1992"/>
      <c r="H429" s="1992"/>
      <c r="I429" s="1992"/>
      <c r="J429" s="1992"/>
      <c r="K429" s="1992"/>
      <c r="L429" s="1992"/>
      <c r="M429" s="1992"/>
      <c r="N429" s="1992"/>
      <c r="O429" s="1992"/>
      <c r="P429" s="1992"/>
      <c r="Q429" s="1992"/>
      <c r="R429" s="1992"/>
      <c r="S429" s="1992"/>
      <c r="T429" s="1992"/>
      <c r="U429" s="1992"/>
      <c r="V429" s="1992"/>
      <c r="W429" s="1992"/>
      <c r="X429" s="1992"/>
      <c r="Y429" s="1992"/>
      <c r="Z429" s="1992"/>
      <c r="AA429" s="1992"/>
      <c r="AB429" s="1992"/>
      <c r="AC429" s="1992"/>
      <c r="AD429" s="1992"/>
      <c r="AE429" s="1992"/>
      <c r="AF429" s="629"/>
      <c r="AG429" s="629"/>
      <c r="AH429" s="629"/>
      <c r="AI429" s="629"/>
      <c r="AJ429" s="629"/>
      <c r="AK429" s="629"/>
      <c r="AL429" s="786"/>
      <c r="AM429" s="605"/>
      <c r="AN429" s="632"/>
    </row>
    <row r="430" spans="1:60" s="585" customFormat="1" ht="17.25" customHeight="1">
      <c r="A430" s="571"/>
      <c r="B430" s="14"/>
      <c r="C430" s="787"/>
      <c r="D430" s="765"/>
      <c r="E430" s="754"/>
      <c r="F430" s="1992"/>
      <c r="G430" s="1992"/>
      <c r="H430" s="1992"/>
      <c r="I430" s="1992"/>
      <c r="J430" s="1992"/>
      <c r="K430" s="1992"/>
      <c r="L430" s="1992"/>
      <c r="M430" s="1992"/>
      <c r="N430" s="1992"/>
      <c r="O430" s="1992"/>
      <c r="P430" s="1992"/>
      <c r="Q430" s="1992"/>
      <c r="R430" s="1992"/>
      <c r="S430" s="1992"/>
      <c r="T430" s="1992"/>
      <c r="U430" s="1992"/>
      <c r="V430" s="1992"/>
      <c r="W430" s="1992"/>
      <c r="X430" s="1992"/>
      <c r="Y430" s="1992"/>
      <c r="Z430" s="1992"/>
      <c r="AA430" s="1992"/>
      <c r="AB430" s="1992"/>
      <c r="AC430" s="1992"/>
      <c r="AD430" s="1992"/>
      <c r="AE430" s="1992"/>
      <c r="AL430" s="767"/>
      <c r="AM430" s="605"/>
      <c r="AN430" s="632"/>
    </row>
    <row r="431" spans="1:60" s="585" customFormat="1" ht="12.75" customHeight="1">
      <c r="A431" s="571"/>
      <c r="B431" s="14"/>
      <c r="C431" s="1988" t="s">
        <v>600</v>
      </c>
      <c r="D431" s="1945"/>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5" t="s">
        <v>1638</v>
      </c>
      <c r="AG431" s="1915"/>
      <c r="AH431" s="1915"/>
      <c r="AI431" s="1915"/>
      <c r="AJ431" s="1915"/>
      <c r="AK431" s="1915"/>
      <c r="AL431" s="199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1" t="s">
        <v>1665</v>
      </c>
      <c r="G434" s="1991"/>
      <c r="H434" s="1991"/>
      <c r="I434" s="1991"/>
      <c r="J434" s="1991"/>
      <c r="K434" s="1991"/>
      <c r="L434" s="1991"/>
      <c r="M434" s="1991"/>
      <c r="N434" s="1991"/>
      <c r="O434" s="1991"/>
      <c r="P434" s="1991"/>
      <c r="Q434" s="1991"/>
      <c r="R434" s="1991"/>
      <c r="S434" s="1991"/>
      <c r="T434" s="1991"/>
      <c r="U434" s="1991"/>
      <c r="V434" s="1991"/>
      <c r="W434" s="1991"/>
      <c r="X434" s="1991"/>
      <c r="Y434" s="1991"/>
      <c r="Z434" s="1991"/>
      <c r="AA434" s="1991"/>
      <c r="AB434" s="1991"/>
      <c r="AC434" s="1991"/>
      <c r="AD434" s="1991"/>
      <c r="AE434" s="1991"/>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L437" s="767"/>
      <c r="AM437" s="605"/>
      <c r="AN437" s="632"/>
      <c r="AO437" s="585" t="s">
        <v>1668</v>
      </c>
      <c r="AP437" s="585">
        <v>5</v>
      </c>
      <c r="AQ437" s="571"/>
    </row>
    <row r="438" spans="1:54" s="585" customFormat="1" ht="12.75" customHeight="1">
      <c r="A438" s="571"/>
      <c r="B438" s="14"/>
      <c r="C438" s="1988" t="s">
        <v>600</v>
      </c>
      <c r="D438" s="1945"/>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5" t="s">
        <v>1638</v>
      </c>
      <c r="AG438" s="1915"/>
      <c r="AH438" s="1915"/>
      <c r="AI438" s="1915"/>
      <c r="AJ438" s="1915"/>
      <c r="AK438" s="1915"/>
      <c r="AL438" s="1993"/>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1994" t="s">
        <v>600</v>
      </c>
      <c r="D442" s="1995"/>
      <c r="E442" s="750" t="s">
        <v>1674</v>
      </c>
      <c r="F442" s="1991" t="s">
        <v>1675</v>
      </c>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c r="AB442" s="1991"/>
      <c r="AC442" s="1991"/>
      <c r="AD442" s="1991"/>
      <c r="AE442" s="1991"/>
      <c r="AF442" s="2008" t="s">
        <v>1638</v>
      </c>
      <c r="AG442" s="2008"/>
      <c r="AH442" s="2008"/>
      <c r="AI442" s="2008"/>
      <c r="AJ442" s="2008"/>
      <c r="AK442" s="2008"/>
      <c r="AL442" s="2009"/>
      <c r="AM442" s="605"/>
      <c r="AN442" s="789"/>
      <c r="AO442" s="585" t="s">
        <v>1676</v>
      </c>
      <c r="AP442" s="585">
        <v>1</v>
      </c>
    </row>
    <row r="443" spans="1:54" s="585" customFormat="1" ht="12.75" customHeight="1">
      <c r="A443" s="571"/>
      <c r="B443" s="14"/>
      <c r="C443" s="787"/>
      <c r="D443" s="765"/>
      <c r="E443" s="754"/>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88" t="s">
        <v>600</v>
      </c>
      <c r="D446" s="1945"/>
      <c r="E446" s="750" t="s">
        <v>1680</v>
      </c>
      <c r="F446" s="1991" t="s">
        <v>1681</v>
      </c>
      <c r="G446" s="1991"/>
      <c r="H446" s="1991"/>
      <c r="I446" s="1991"/>
      <c r="J446" s="1991"/>
      <c r="K446" s="1991"/>
      <c r="L446" s="1991"/>
      <c r="M446" s="1991"/>
      <c r="N446" s="1991"/>
      <c r="O446" s="1991"/>
      <c r="P446" s="1991"/>
      <c r="Q446" s="1991"/>
      <c r="R446" s="1991"/>
      <c r="S446" s="1991"/>
      <c r="T446" s="1991"/>
      <c r="U446" s="1991"/>
      <c r="V446" s="1991"/>
      <c r="W446" s="1991"/>
      <c r="X446" s="1991"/>
      <c r="Y446" s="1991"/>
      <c r="Z446" s="1991"/>
      <c r="AA446" s="1991"/>
      <c r="AB446" s="1991"/>
      <c r="AC446" s="1991"/>
      <c r="AD446" s="1991"/>
      <c r="AE446" s="1991"/>
      <c r="AF446" s="2008" t="s">
        <v>1638</v>
      </c>
      <c r="AG446" s="2008"/>
      <c r="AH446" s="2008"/>
      <c r="AI446" s="2008"/>
      <c r="AJ446" s="2008"/>
      <c r="AK446" s="2008"/>
      <c r="AL446" s="2009"/>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2"/>
      <c r="G447" s="1992"/>
      <c r="H447" s="1992"/>
      <c r="I447" s="1992"/>
      <c r="J447" s="1992"/>
      <c r="K447" s="1992"/>
      <c r="L447" s="1992"/>
      <c r="M447" s="1992"/>
      <c r="N447" s="1992"/>
      <c r="O447" s="1992"/>
      <c r="P447" s="1992"/>
      <c r="Q447" s="1992"/>
      <c r="R447" s="1992"/>
      <c r="S447" s="1992"/>
      <c r="T447" s="1992"/>
      <c r="U447" s="1992"/>
      <c r="V447" s="1992"/>
      <c r="W447" s="1992"/>
      <c r="X447" s="1992"/>
      <c r="Y447" s="1992"/>
      <c r="Z447" s="1992"/>
      <c r="AA447" s="1992"/>
      <c r="AB447" s="1992"/>
      <c r="AC447" s="1992"/>
      <c r="AD447" s="1992"/>
      <c r="AE447" s="199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2"/>
      <c r="G448" s="1992"/>
      <c r="H448" s="1992"/>
      <c r="I448" s="1992"/>
      <c r="J448" s="1992"/>
      <c r="K448" s="1992"/>
      <c r="L448" s="1992"/>
      <c r="M448" s="1992"/>
      <c r="N448" s="1992"/>
      <c r="O448" s="1992"/>
      <c r="P448" s="1992"/>
      <c r="Q448" s="1992"/>
      <c r="R448" s="1992"/>
      <c r="S448" s="1992"/>
      <c r="T448" s="1992"/>
      <c r="U448" s="1992"/>
      <c r="V448" s="1992"/>
      <c r="W448" s="1992"/>
      <c r="X448" s="1992"/>
      <c r="Y448" s="1992"/>
      <c r="Z448" s="1992"/>
      <c r="AA448" s="1992"/>
      <c r="AB448" s="1992"/>
      <c r="AC448" s="1992"/>
      <c r="AD448" s="1992"/>
      <c r="AE448" s="1992"/>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1" t="s">
        <v>1684</v>
      </c>
      <c r="G451" s="1991"/>
      <c r="H451" s="1991"/>
      <c r="I451" s="1991"/>
      <c r="J451" s="1991"/>
      <c r="K451" s="1991"/>
      <c r="L451" s="1991"/>
      <c r="M451" s="1991"/>
      <c r="N451" s="1991"/>
      <c r="O451" s="1991"/>
      <c r="P451" s="1991"/>
      <c r="Q451" s="1991"/>
      <c r="R451" s="1991"/>
      <c r="S451" s="1991"/>
      <c r="T451" s="1991"/>
      <c r="U451" s="1991"/>
      <c r="V451" s="1991"/>
      <c r="W451" s="1991"/>
      <c r="X451" s="1991"/>
      <c r="Y451" s="1991"/>
      <c r="Z451" s="1991"/>
      <c r="AA451" s="1991"/>
      <c r="AB451" s="1991"/>
      <c r="AC451" s="1991"/>
      <c r="AD451" s="1991"/>
      <c r="AE451" s="1991"/>
      <c r="AF451" s="1991"/>
      <c r="AG451" s="779"/>
      <c r="AH451" s="749"/>
      <c r="AI451" s="749"/>
      <c r="AJ451" s="749"/>
      <c r="AK451" s="749"/>
      <c r="AL451" s="780"/>
      <c r="AM451" s="605"/>
      <c r="AN451" s="632"/>
    </row>
    <row r="452" spans="1:49" s="585" customFormat="1" ht="12.75" customHeight="1">
      <c r="A452" s="571"/>
      <c r="B452" s="14"/>
      <c r="C452" s="766"/>
      <c r="D452" s="14"/>
      <c r="E452" s="726"/>
      <c r="F452" s="1992"/>
      <c r="G452" s="1992"/>
      <c r="H452" s="1992"/>
      <c r="I452" s="1992"/>
      <c r="J452" s="1992"/>
      <c r="K452" s="1992"/>
      <c r="L452" s="1992"/>
      <c r="M452" s="1992"/>
      <c r="N452" s="1992"/>
      <c r="O452" s="1992"/>
      <c r="P452" s="1992"/>
      <c r="Q452" s="1992"/>
      <c r="R452" s="1992"/>
      <c r="S452" s="1992"/>
      <c r="T452" s="1992"/>
      <c r="U452" s="1992"/>
      <c r="V452" s="1992"/>
      <c r="W452" s="1992"/>
      <c r="X452" s="1992"/>
      <c r="Y452" s="1992"/>
      <c r="Z452" s="1992"/>
      <c r="AA452" s="1992"/>
      <c r="AB452" s="1992"/>
      <c r="AC452" s="1992"/>
      <c r="AD452" s="1992"/>
      <c r="AE452" s="1992"/>
      <c r="AF452" s="1992"/>
      <c r="AL452" s="767"/>
      <c r="AM452" s="605"/>
      <c r="AN452" s="632"/>
    </row>
    <row r="453" spans="1:49" s="585" customFormat="1" ht="12.75" customHeight="1">
      <c r="A453" s="571"/>
      <c r="B453" s="14"/>
      <c r="C453" s="774"/>
      <c r="F453" s="1992"/>
      <c r="G453" s="1992"/>
      <c r="H453" s="1992"/>
      <c r="I453" s="1992"/>
      <c r="J453" s="1992"/>
      <c r="K453" s="1992"/>
      <c r="L453" s="1992"/>
      <c r="M453" s="1992"/>
      <c r="N453" s="1992"/>
      <c r="O453" s="1992"/>
      <c r="P453" s="1992"/>
      <c r="Q453" s="1992"/>
      <c r="R453" s="1992"/>
      <c r="S453" s="1992"/>
      <c r="T453" s="1992"/>
      <c r="U453" s="1992"/>
      <c r="V453" s="1992"/>
      <c r="W453" s="1992"/>
      <c r="X453" s="1992"/>
      <c r="Y453" s="1992"/>
      <c r="Z453" s="1992"/>
      <c r="AA453" s="1992"/>
      <c r="AB453" s="1992"/>
      <c r="AC453" s="1992"/>
      <c r="AD453" s="1992"/>
      <c r="AE453" s="1992"/>
      <c r="AF453" s="1992"/>
      <c r="AL453" s="767"/>
      <c r="AM453" s="605"/>
      <c r="AN453" s="632"/>
    </row>
    <row r="454" spans="1:49" s="585" customFormat="1" ht="12.75" customHeight="1">
      <c r="A454" s="571"/>
      <c r="B454" s="14"/>
      <c r="C454" s="774"/>
      <c r="F454" s="1992"/>
      <c r="G454" s="1992"/>
      <c r="H454" s="1992"/>
      <c r="I454" s="1992"/>
      <c r="J454" s="1992"/>
      <c r="K454" s="1992"/>
      <c r="L454" s="1992"/>
      <c r="M454" s="1992"/>
      <c r="N454" s="1992"/>
      <c r="O454" s="1992"/>
      <c r="P454" s="1992"/>
      <c r="Q454" s="1992"/>
      <c r="R454" s="1992"/>
      <c r="S454" s="1992"/>
      <c r="T454" s="1992"/>
      <c r="U454" s="1992"/>
      <c r="V454" s="1992"/>
      <c r="W454" s="1992"/>
      <c r="X454" s="1992"/>
      <c r="Y454" s="1992"/>
      <c r="Z454" s="1992"/>
      <c r="AA454" s="1992"/>
      <c r="AB454" s="1992"/>
      <c r="AC454" s="1992"/>
      <c r="AD454" s="1992"/>
      <c r="AE454" s="1992"/>
      <c r="AF454" s="1992"/>
      <c r="AL454" s="767"/>
      <c r="AM454" s="605"/>
      <c r="AN454" s="632"/>
    </row>
    <row r="455" spans="1:49" s="585" customFormat="1" ht="12.75" customHeight="1">
      <c r="A455" s="571"/>
      <c r="B455" s="14"/>
      <c r="C455" s="1988" t="s">
        <v>600</v>
      </c>
      <c r="D455" s="1945"/>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89" t="s">
        <v>1638</v>
      </c>
      <c r="AG455" s="1989"/>
      <c r="AH455" s="1989"/>
      <c r="AI455" s="1989"/>
      <c r="AJ455" s="1989"/>
      <c r="AK455" s="1989"/>
      <c r="AL455" s="199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48">
        <f>IF(Application!D213="N/A",AS347,AS349)</f>
        <v>10</v>
      </c>
      <c r="AL458" s="1949"/>
      <c r="AM458" s="195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89" t="s">
        <v>1688</v>
      </c>
      <c r="AF461" s="1989"/>
      <c r="AG461" s="1989"/>
      <c r="AH461" s="1989"/>
      <c r="AI461" s="1989"/>
      <c r="AJ461" s="1989"/>
      <c r="AK461" s="1989"/>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0" t="s">
        <v>600</v>
      </c>
      <c r="D467" s="2011"/>
      <c r="E467" s="797" t="s">
        <v>516</v>
      </c>
      <c r="F467" s="2012" t="s">
        <v>1694</v>
      </c>
      <c r="G467" s="2012"/>
      <c r="H467" s="2012"/>
      <c r="I467" s="2012"/>
      <c r="J467" s="2012"/>
      <c r="K467" s="2012"/>
      <c r="L467" s="2012"/>
      <c r="M467" s="2012"/>
      <c r="N467" s="2012"/>
      <c r="O467" s="2012"/>
      <c r="P467" s="2012"/>
      <c r="Q467" s="2012"/>
      <c r="R467" s="2012"/>
      <c r="S467" s="2012"/>
      <c r="T467" s="2012"/>
      <c r="U467" s="2012"/>
      <c r="V467" s="2012"/>
      <c r="W467" s="2012"/>
      <c r="X467" s="2012"/>
      <c r="Y467" s="2012"/>
      <c r="Z467" s="2012"/>
      <c r="AA467" s="2012"/>
      <c r="AB467" s="2012"/>
      <c r="AC467" s="2012"/>
      <c r="AD467" s="2012"/>
      <c r="AE467" s="2012"/>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c r="AG468" s="586"/>
      <c r="AH468" s="586"/>
      <c r="AI468" s="586"/>
      <c r="AJ468" s="586"/>
      <c r="AK468" s="767"/>
      <c r="AN468" s="632"/>
      <c r="AO468" s="585" t="s">
        <v>1676</v>
      </c>
      <c r="AP468" s="585">
        <v>1</v>
      </c>
    </row>
    <row r="469" spans="1:50" s="585" customFormat="1" ht="12.75" hidden="1" customHeight="1">
      <c r="C469" s="800"/>
      <c r="D469" s="762"/>
      <c r="E469" s="801"/>
      <c r="F469" s="2014" t="s">
        <v>600</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15" t="s">
        <v>554</v>
      </c>
      <c r="D471" s="2016"/>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2" t="s">
        <v>600</v>
      </c>
      <c r="W474" s="2022"/>
      <c r="X474" s="2022"/>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2" t="s">
        <v>600</v>
      </c>
      <c r="W476" s="2022"/>
      <c r="X476" s="2022"/>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2" t="s">
        <v>600</v>
      </c>
      <c r="W481" s="2022"/>
      <c r="X481" s="2022"/>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1"/>
      <c r="E484" s="2021"/>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2" t="s">
        <v>600</v>
      </c>
      <c r="W485" s="2022"/>
      <c r="X485" s="2022"/>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2" t="s">
        <v>600</v>
      </c>
      <c r="W487" s="2022"/>
      <c r="X487" s="2022"/>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0" t="s">
        <v>600</v>
      </c>
      <c r="D490" s="2011"/>
      <c r="E490" s="797" t="s">
        <v>516</v>
      </c>
      <c r="F490" s="2012" t="s">
        <v>1694</v>
      </c>
      <c r="G490" s="2012"/>
      <c r="H490" s="2012"/>
      <c r="I490" s="2012"/>
      <c r="J490" s="2012"/>
      <c r="K490" s="2012"/>
      <c r="L490" s="2012"/>
      <c r="M490" s="2012"/>
      <c r="N490" s="2012"/>
      <c r="O490" s="2012"/>
      <c r="P490" s="2012"/>
      <c r="Q490" s="2012"/>
      <c r="R490" s="2012"/>
      <c r="S490" s="2012"/>
      <c r="T490" s="2012"/>
      <c r="U490" s="2012"/>
      <c r="V490" s="2012"/>
      <c r="W490" s="2012"/>
      <c r="X490" s="2012"/>
      <c r="Y490" s="2012"/>
      <c r="Z490" s="2012"/>
      <c r="AA490" s="2012"/>
      <c r="AB490" s="2012"/>
      <c r="AC490" s="2012"/>
      <c r="AD490" s="2012"/>
      <c r="AE490" s="201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7" t="s">
        <v>600</v>
      </c>
      <c r="G492" s="2017"/>
      <c r="H492" s="2017"/>
      <c r="I492" s="2017"/>
      <c r="J492" s="2017"/>
      <c r="K492" s="2017"/>
      <c r="L492" s="2017"/>
      <c r="M492" s="2017"/>
      <c r="N492" s="2017"/>
      <c r="O492" s="2017"/>
      <c r="P492" s="2017"/>
      <c r="Q492" s="2017"/>
      <c r="R492" s="2017"/>
      <c r="S492" s="2017"/>
      <c r="T492" s="2017"/>
      <c r="U492" s="2017"/>
      <c r="V492" s="2017"/>
      <c r="W492" s="2017"/>
      <c r="X492" s="2017"/>
      <c r="Y492" s="2017"/>
      <c r="Z492" s="2017"/>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0" t="s">
        <v>600</v>
      </c>
      <c r="D494" s="2011"/>
      <c r="E494" s="797" t="s">
        <v>769</v>
      </c>
      <c r="F494" s="2018" t="s">
        <v>1716</v>
      </c>
      <c r="G494" s="2018"/>
      <c r="H494" s="2018"/>
      <c r="I494" s="2018"/>
      <c r="J494" s="2018"/>
      <c r="K494" s="2018"/>
      <c r="L494" s="2018"/>
      <c r="M494" s="2018"/>
      <c r="N494" s="2018"/>
      <c r="O494" s="2018"/>
      <c r="P494" s="2018"/>
      <c r="Q494" s="2018"/>
      <c r="R494" s="2018"/>
      <c r="S494" s="2018"/>
      <c r="T494" s="2018"/>
      <c r="U494" s="2018"/>
      <c r="V494" s="2018"/>
      <c r="W494" s="2018"/>
      <c r="X494" s="2018"/>
      <c r="Y494" s="2018"/>
      <c r="Z494" s="2018"/>
      <c r="AA494" s="2018"/>
      <c r="AB494" s="2018"/>
      <c r="AC494" s="2018"/>
      <c r="AD494" s="2018"/>
      <c r="AE494" s="201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9"/>
      <c r="G495" s="2019"/>
      <c r="H495" s="2019"/>
      <c r="I495" s="2019"/>
      <c r="J495" s="2019"/>
      <c r="K495" s="2019"/>
      <c r="L495" s="2019"/>
      <c r="M495" s="2019"/>
      <c r="N495" s="2019"/>
      <c r="O495" s="2019"/>
      <c r="P495" s="2019"/>
      <c r="Q495" s="2019"/>
      <c r="R495" s="2019"/>
      <c r="S495" s="2019"/>
      <c r="T495" s="2019"/>
      <c r="U495" s="2019"/>
      <c r="V495" s="2019"/>
      <c r="W495" s="2019"/>
      <c r="X495" s="2019"/>
      <c r="Y495" s="2019"/>
      <c r="Z495" s="2019"/>
      <c r="AA495" s="2019"/>
      <c r="AB495" s="2019"/>
      <c r="AC495" s="2019"/>
      <c r="AD495" s="2019"/>
      <c r="AE495" s="201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0" t="s">
        <v>600</v>
      </c>
      <c r="G497" s="2020"/>
      <c r="H497" s="202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0" t="s">
        <v>600</v>
      </c>
      <c r="D499" s="2011"/>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3"/>
      <c r="D501" s="2021"/>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4" t="s">
        <v>600</v>
      </c>
      <c r="H502" s="2034"/>
      <c r="I502" s="2034"/>
      <c r="J502" s="2034"/>
      <c r="K502" s="2034"/>
      <c r="L502" s="2034"/>
      <c r="M502" s="2034"/>
      <c r="N502" s="2034"/>
      <c r="O502" s="2034"/>
      <c r="P502" s="2034"/>
      <c r="Q502" s="2034"/>
      <c r="R502" s="2034"/>
      <c r="S502" s="2034"/>
      <c r="T502" s="2034"/>
      <c r="U502" s="2034"/>
      <c r="V502" s="2034"/>
      <c r="W502" s="2034"/>
      <c r="X502" s="2034"/>
      <c r="Y502" s="2034"/>
      <c r="Z502" s="2034"/>
      <c r="AA502" s="2034"/>
      <c r="AB502" s="2034"/>
      <c r="AC502" s="2034"/>
      <c r="AD502" s="2034"/>
      <c r="AE502" s="2034"/>
      <c r="AF502" s="203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5" t="s">
        <v>600</v>
      </c>
      <c r="D504" s="2036"/>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5" t="s">
        <v>600</v>
      </c>
      <c r="D508" s="2036"/>
      <c r="F508" s="831" t="s">
        <v>1724</v>
      </c>
      <c r="G508" s="1992" t="s">
        <v>1725</v>
      </c>
      <c r="H508" s="1992"/>
      <c r="I508" s="1992"/>
      <c r="J508" s="1992"/>
      <c r="K508" s="1992"/>
      <c r="L508" s="1992"/>
      <c r="M508" s="1992"/>
      <c r="N508" s="1992"/>
      <c r="O508" s="1992"/>
      <c r="P508" s="1992"/>
      <c r="Q508" s="1992"/>
      <c r="R508" s="1992"/>
      <c r="S508" s="1992"/>
      <c r="T508" s="1992"/>
      <c r="U508" s="1992"/>
      <c r="V508" s="1992"/>
      <c r="W508" s="1992"/>
      <c r="X508" s="1992"/>
      <c r="Y508" s="1992"/>
      <c r="Z508" s="1992"/>
      <c r="AA508" s="1992"/>
      <c r="AB508" s="1992"/>
      <c r="AC508" s="1992"/>
      <c r="AD508" s="1992"/>
      <c r="AE508" s="1992"/>
      <c r="AF508" s="1992"/>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3" t="s">
        <v>600</v>
      </c>
      <c r="D512" s="2024"/>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5" t="s">
        <v>600</v>
      </c>
      <c r="G513" s="2025"/>
      <c r="H513" s="2025"/>
      <c r="I513" s="2025"/>
      <c r="J513" s="2025"/>
      <c r="K513" s="2025"/>
      <c r="L513" s="2025"/>
      <c r="M513" s="2025"/>
      <c r="N513" s="2025"/>
      <c r="O513" s="2025"/>
      <c r="P513" s="2025"/>
      <c r="Q513" s="2025"/>
      <c r="R513" s="2025"/>
      <c r="S513" s="2025"/>
      <c r="T513" s="2025"/>
      <c r="U513" s="2025"/>
      <c r="V513" s="2025"/>
      <c r="W513" s="2025"/>
      <c r="X513" s="2025"/>
      <c r="Y513" s="2025"/>
      <c r="Z513" s="2025"/>
      <c r="AA513" s="2025"/>
      <c r="AB513" s="2025"/>
      <c r="AC513" s="2025"/>
      <c r="AD513" s="2025"/>
      <c r="AE513" s="2025"/>
      <c r="AF513" s="202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6"/>
      <c r="G514" s="2026"/>
      <c r="H514" s="2026"/>
      <c r="I514" s="2026"/>
      <c r="J514" s="2026"/>
      <c r="K514" s="2026"/>
      <c r="L514" s="2026"/>
      <c r="M514" s="2026"/>
      <c r="N514" s="2026"/>
      <c r="O514" s="2026"/>
      <c r="P514" s="2026"/>
      <c r="Q514" s="2026"/>
      <c r="R514" s="2026"/>
      <c r="S514" s="2026"/>
      <c r="T514" s="2026"/>
      <c r="U514" s="2026"/>
      <c r="V514" s="2026"/>
      <c r="W514" s="2026"/>
      <c r="X514" s="2026"/>
      <c r="Y514" s="2026"/>
      <c r="Z514" s="2026"/>
      <c r="AA514" s="2026"/>
      <c r="AB514" s="2026"/>
      <c r="AC514" s="2026"/>
      <c r="AD514" s="2026"/>
      <c r="AE514" s="2026"/>
      <c r="AF514" s="202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48">
        <f>SUM(AG468:AG513)</f>
        <v>0</v>
      </c>
      <c r="AL524" s="1949"/>
      <c r="AM524" s="195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3" t="s">
        <v>1737</v>
      </c>
      <c r="AF527" s="1883"/>
      <c r="AG527" s="1883"/>
      <c r="AH527" s="1883"/>
      <c r="AI527" s="1883"/>
      <c r="AJ527" s="1883"/>
      <c r="AK527" s="1883"/>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5" t="s">
        <v>600</v>
      </c>
      <c r="D530" s="1945"/>
      <c r="E530" s="586"/>
      <c r="F530" s="2027" t="s">
        <v>1738</v>
      </c>
      <c r="G530" s="2028"/>
      <c r="H530" s="2028"/>
      <c r="I530" s="2028"/>
      <c r="J530" s="2028"/>
      <c r="K530" s="2028"/>
      <c r="L530" s="2028"/>
      <c r="M530" s="2028"/>
      <c r="N530" s="2028"/>
      <c r="O530" s="2028"/>
      <c r="P530" s="2028"/>
      <c r="Q530" s="2028"/>
      <c r="R530" s="2028"/>
      <c r="S530" s="2028"/>
      <c r="T530" s="2028"/>
      <c r="U530" s="2028"/>
      <c r="V530" s="2028"/>
      <c r="W530" s="2028"/>
      <c r="X530" s="2028"/>
      <c r="Y530" s="2028"/>
      <c r="Z530" s="2028"/>
      <c r="AA530" s="2028"/>
      <c r="AB530" s="2028"/>
      <c r="AC530" s="2028"/>
      <c r="AD530" s="2028"/>
      <c r="AE530" s="2028"/>
      <c r="AF530" s="2028"/>
      <c r="AG530" s="2028"/>
      <c r="AH530" s="2028"/>
      <c r="AI530" s="2028"/>
      <c r="AJ530" s="2028"/>
      <c r="AK530" s="2028"/>
      <c r="AL530" s="2029"/>
      <c r="AM530" s="630"/>
      <c r="AN530" s="632"/>
    </row>
    <row r="531" spans="1:49" s="585" customFormat="1" ht="12.75" customHeight="1">
      <c r="A531" s="574"/>
      <c r="B531" s="574"/>
      <c r="C531" s="586"/>
      <c r="D531" s="586"/>
      <c r="E531" s="586"/>
      <c r="F531" s="2030"/>
      <c r="G531" s="2031"/>
      <c r="H531" s="2031"/>
      <c r="I531" s="2031"/>
      <c r="J531" s="2031"/>
      <c r="K531" s="2031"/>
      <c r="L531" s="2031"/>
      <c r="M531" s="2031"/>
      <c r="N531" s="2031"/>
      <c r="O531" s="2031"/>
      <c r="P531" s="2031"/>
      <c r="Q531" s="2031"/>
      <c r="R531" s="2031"/>
      <c r="S531" s="2031"/>
      <c r="T531" s="2031"/>
      <c r="U531" s="2031"/>
      <c r="V531" s="2031"/>
      <c r="W531" s="2031"/>
      <c r="X531" s="2031"/>
      <c r="Y531" s="2031"/>
      <c r="Z531" s="2031"/>
      <c r="AA531" s="2031"/>
      <c r="AB531" s="2031"/>
      <c r="AC531" s="2031"/>
      <c r="AD531" s="2031"/>
      <c r="AE531" s="2031"/>
      <c r="AF531" s="2031"/>
      <c r="AG531" s="2031"/>
      <c r="AH531" s="2031"/>
      <c r="AI531" s="2031"/>
      <c r="AJ531" s="2031"/>
      <c r="AK531" s="2031"/>
      <c r="AL531" s="203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5" t="s">
        <v>554</v>
      </c>
      <c r="D533" s="1945"/>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7" t="s">
        <v>1740</v>
      </c>
      <c r="G534" s="1968"/>
      <c r="H534" s="1968"/>
      <c r="I534" s="1968"/>
      <c r="J534" s="1968"/>
      <c r="K534" s="1968"/>
      <c r="L534" s="1968"/>
      <c r="M534" s="1968"/>
      <c r="N534" s="1968"/>
      <c r="O534" s="1968"/>
      <c r="P534" s="1968"/>
      <c r="Q534" s="1968"/>
      <c r="R534" s="1968"/>
      <c r="S534" s="1968"/>
      <c r="T534" s="1968"/>
      <c r="U534" s="1968"/>
      <c r="V534" s="1968"/>
      <c r="W534" s="1968"/>
      <c r="X534" s="1968"/>
      <c r="Y534" s="1968"/>
      <c r="Z534" s="1968"/>
      <c r="AA534" s="1968"/>
      <c r="AB534" s="1968"/>
      <c r="AC534" s="1968"/>
      <c r="AD534" s="1968"/>
      <c r="AE534" s="1968"/>
      <c r="AF534" s="1968"/>
      <c r="AG534" s="1968"/>
      <c r="AH534" s="1968"/>
      <c r="AI534" s="1968"/>
      <c r="AJ534" s="1968"/>
      <c r="AK534" s="1968"/>
      <c r="AL534" s="1969"/>
      <c r="AM534" s="630"/>
      <c r="AN534" s="632"/>
      <c r="AS534" s="906"/>
      <c r="AT534" s="906"/>
      <c r="AU534" s="906"/>
      <c r="AV534" s="906"/>
      <c r="AW534" s="906"/>
    </row>
    <row r="535" spans="1:49" s="585" customFormat="1" ht="12.75" customHeight="1">
      <c r="B535" s="842"/>
      <c r="C535" s="842"/>
      <c r="D535" s="842"/>
      <c r="E535" s="842"/>
      <c r="F535" s="1967"/>
      <c r="G535" s="1968"/>
      <c r="H535" s="1968"/>
      <c r="I535" s="1968"/>
      <c r="J535" s="1968"/>
      <c r="K535" s="1968"/>
      <c r="L535" s="1968"/>
      <c r="M535" s="1968"/>
      <c r="N535" s="1968"/>
      <c r="O535" s="1968"/>
      <c r="P535" s="1968"/>
      <c r="Q535" s="1968"/>
      <c r="R535" s="1968"/>
      <c r="S535" s="1968"/>
      <c r="T535" s="1968"/>
      <c r="U535" s="1968"/>
      <c r="V535" s="1968"/>
      <c r="W535" s="1968"/>
      <c r="X535" s="1968"/>
      <c r="Y535" s="1968"/>
      <c r="Z535" s="1968"/>
      <c r="AA535" s="1968"/>
      <c r="AB535" s="1968"/>
      <c r="AC535" s="1968"/>
      <c r="AD535" s="1968"/>
      <c r="AE535" s="1968"/>
      <c r="AF535" s="1968"/>
      <c r="AG535" s="1968"/>
      <c r="AH535" s="1968"/>
      <c r="AI535" s="1968"/>
      <c r="AJ535" s="1968"/>
      <c r="AK535" s="1968"/>
      <c r="AL535" s="1969"/>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7" t="s">
        <v>1741</v>
      </c>
      <c r="G537" s="1968"/>
      <c r="H537" s="1968"/>
      <c r="I537" s="1968"/>
      <c r="J537" s="1968"/>
      <c r="K537" s="1968"/>
      <c r="L537" s="1968"/>
      <c r="M537" s="1968"/>
      <c r="N537" s="1968"/>
      <c r="O537" s="1968"/>
      <c r="P537" s="1968"/>
      <c r="Q537" s="1968"/>
      <c r="R537" s="1968"/>
      <c r="S537" s="1968"/>
      <c r="T537" s="1968"/>
      <c r="U537" s="1968"/>
      <c r="V537" s="1968"/>
      <c r="W537" s="1968"/>
      <c r="X537" s="1968"/>
      <c r="Y537" s="1968"/>
      <c r="Z537" s="1968"/>
      <c r="AA537" s="1968"/>
      <c r="AB537" s="1968"/>
      <c r="AC537" s="1968"/>
      <c r="AD537" s="1968"/>
      <c r="AE537" s="1968"/>
      <c r="AF537" s="1968"/>
      <c r="AG537" s="1968"/>
      <c r="AH537" s="1968"/>
      <c r="AI537" s="1968"/>
      <c r="AJ537" s="1968"/>
      <c r="AK537" s="1968"/>
      <c r="AL537" s="849"/>
      <c r="AM537" s="630"/>
      <c r="AN537" s="632"/>
    </row>
    <row r="538" spans="1:49" s="585" customFormat="1" ht="12.75" customHeight="1">
      <c r="B538" s="842"/>
      <c r="C538" s="842"/>
      <c r="D538" s="842"/>
      <c r="E538" s="842"/>
      <c r="F538" s="1970"/>
      <c r="G538" s="1971"/>
      <c r="H538" s="1971"/>
      <c r="I538" s="1971"/>
      <c r="J538" s="1971"/>
      <c r="K538" s="1971"/>
      <c r="L538" s="1971"/>
      <c r="M538" s="1971"/>
      <c r="N538" s="1971"/>
      <c r="O538" s="1971"/>
      <c r="P538" s="1971"/>
      <c r="Q538" s="1971"/>
      <c r="R538" s="1971"/>
      <c r="S538" s="1971"/>
      <c r="T538" s="1971"/>
      <c r="U538" s="1971"/>
      <c r="V538" s="1971"/>
      <c r="W538" s="1971"/>
      <c r="X538" s="1971"/>
      <c r="Y538" s="1971"/>
      <c r="Z538" s="1971"/>
      <c r="AA538" s="1971"/>
      <c r="AB538" s="1971"/>
      <c r="AC538" s="1971"/>
      <c r="AD538" s="1971"/>
      <c r="AE538" s="1971"/>
      <c r="AF538" s="1971"/>
      <c r="AG538" s="1971"/>
      <c r="AH538" s="1971"/>
      <c r="AI538" s="1971"/>
      <c r="AJ538" s="1971"/>
      <c r="AK538" s="197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1">
        <f>Application!AJ961</f>
        <v>54136432</v>
      </c>
      <c r="AQ539" s="2091"/>
      <c r="AR539" s="2091"/>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1">
        <f>'Sources and Uses Budget'!S107+'Sources and Uses Budget'!T107</f>
        <v>43796306</v>
      </c>
      <c r="AG540" s="1951"/>
      <c r="AH540" s="1951"/>
      <c r="AI540" s="1951"/>
      <c r="AJ540" s="1951"/>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6">
        <f>IFERROR(AP548,0)</f>
        <v>100415335.59999999</v>
      </c>
      <c r="AG541" s="2096"/>
      <c r="AH541" s="2096"/>
      <c r="AI541" s="2096"/>
      <c r="AJ541" s="2096"/>
      <c r="AK541" s="630"/>
      <c r="AL541" s="630"/>
      <c r="AM541" s="630"/>
      <c r="AN541" s="632"/>
      <c r="AP541" s="2091">
        <f>Application!AJ1010</f>
        <v>18947751.199999999</v>
      </c>
      <c r="AQ541" s="2091"/>
      <c r="AR541" s="209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7">
        <f>IFERROR(ROUNDDOWN(IF(C533="YES",((1-(AF540/AF541))*2),(1-(AF540/AF541))),2),0)</f>
        <v>1.1200000000000001</v>
      </c>
      <c r="AG542" s="2097"/>
      <c r="AH542" s="2097"/>
      <c r="AI542" s="2097"/>
      <c r="AJ542" s="2097"/>
      <c r="AK542" s="630"/>
      <c r="AL542" s="630"/>
      <c r="AM542" s="630"/>
      <c r="AN542" s="632"/>
      <c r="AP542" s="2094">
        <f>Application!AJ1014</f>
        <v>10827286.4</v>
      </c>
      <c r="AQ542" s="2094"/>
      <c r="AR542" s="209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0">
        <f>IF(((AP541+AP542)/AP539)&gt;0.8,0.8,((AP541+AP542)/AP539))</f>
        <v>0.55000000000000004</v>
      </c>
      <c r="AQ543" s="2090"/>
      <c r="AR543" s="2090"/>
    </row>
    <row r="544" spans="1:49" s="585" customFormat="1" ht="12.75" customHeight="1">
      <c r="A544" s="659"/>
      <c r="B544" s="2043" t="s">
        <v>2429</v>
      </c>
      <c r="C544" s="2044"/>
      <c r="D544" s="2044"/>
      <c r="E544" s="2044"/>
      <c r="F544" s="2044"/>
      <c r="G544" s="2044"/>
      <c r="H544" s="2044"/>
      <c r="I544" s="2044"/>
      <c r="J544" s="2044"/>
      <c r="K544" s="2044"/>
      <c r="L544" s="2044"/>
      <c r="M544" s="2044"/>
      <c r="N544" s="2044"/>
      <c r="O544" s="2044"/>
      <c r="P544" s="2044"/>
      <c r="Q544" s="2044"/>
      <c r="R544" s="2044"/>
      <c r="S544" s="2044"/>
      <c r="T544" s="2044"/>
      <c r="U544" s="2044"/>
      <c r="V544" s="2044"/>
      <c r="W544" s="2044"/>
      <c r="X544" s="2044"/>
      <c r="Y544" s="2044"/>
      <c r="Z544" s="2044"/>
      <c r="AA544" s="2044"/>
      <c r="AB544" s="2044"/>
      <c r="AC544" s="2044"/>
      <c r="AD544" s="2044"/>
      <c r="AE544" s="2044"/>
      <c r="AF544" s="2044"/>
      <c r="AG544" s="2044"/>
      <c r="AH544" s="2044"/>
      <c r="AI544" s="2044"/>
      <c r="AJ544" s="2045"/>
      <c r="AK544" s="630"/>
      <c r="AL544" s="630"/>
      <c r="AM544" s="630"/>
      <c r="AN544" s="632"/>
    </row>
    <row r="545" spans="1:44" s="585" customFormat="1" ht="12.75" customHeight="1">
      <c r="A545" s="659"/>
      <c r="B545" s="2046"/>
      <c r="C545" s="2047"/>
      <c r="D545" s="2047"/>
      <c r="E545" s="2047"/>
      <c r="F545" s="2047"/>
      <c r="G545" s="2047"/>
      <c r="H545" s="2047"/>
      <c r="I545" s="2047"/>
      <c r="J545" s="2047"/>
      <c r="K545" s="2047"/>
      <c r="L545" s="2047"/>
      <c r="M545" s="2047"/>
      <c r="N545" s="2047"/>
      <c r="O545" s="2047"/>
      <c r="P545" s="2047"/>
      <c r="Q545" s="2047"/>
      <c r="R545" s="2047"/>
      <c r="S545" s="2047"/>
      <c r="T545" s="2047"/>
      <c r="U545" s="2047"/>
      <c r="V545" s="2047"/>
      <c r="W545" s="2047"/>
      <c r="X545" s="2047"/>
      <c r="Y545" s="2047"/>
      <c r="Z545" s="2047"/>
      <c r="AA545" s="2047"/>
      <c r="AB545" s="2047"/>
      <c r="AC545" s="2047"/>
      <c r="AD545" s="2047"/>
      <c r="AE545" s="2047"/>
      <c r="AF545" s="2047"/>
      <c r="AG545" s="2047"/>
      <c r="AH545" s="2047"/>
      <c r="AI545" s="2047"/>
      <c r="AJ545" s="2048"/>
      <c r="AK545" s="630"/>
      <c r="AL545" s="630"/>
      <c r="AM545" s="630"/>
      <c r="AN545" s="632"/>
      <c r="AP545" s="2091">
        <f>AP546-AP541-AP542</f>
        <v>70640298</v>
      </c>
      <c r="AQ545" s="2000"/>
      <c r="AR545" s="2000"/>
    </row>
    <row r="546" spans="1:44" s="585" customFormat="1" ht="12.75" customHeight="1">
      <c r="A546" s="659"/>
      <c r="B546" s="2049"/>
      <c r="C546" s="2050"/>
      <c r="D546" s="2050"/>
      <c r="E546" s="2050"/>
      <c r="F546" s="2050"/>
      <c r="G546" s="2050"/>
      <c r="H546" s="2050"/>
      <c r="I546" s="2050"/>
      <c r="J546" s="2050"/>
      <c r="K546" s="2050"/>
      <c r="L546" s="2050"/>
      <c r="M546" s="2050"/>
      <c r="N546" s="2050"/>
      <c r="O546" s="2050"/>
      <c r="P546" s="2050"/>
      <c r="Q546" s="2050"/>
      <c r="R546" s="2050"/>
      <c r="S546" s="2050"/>
      <c r="T546" s="2050"/>
      <c r="U546" s="2050"/>
      <c r="V546" s="2050"/>
      <c r="W546" s="2050"/>
      <c r="X546" s="2050"/>
      <c r="Y546" s="2050"/>
      <c r="Z546" s="2050"/>
      <c r="AA546" s="2050"/>
      <c r="AB546" s="2050"/>
      <c r="AC546" s="2050"/>
      <c r="AD546" s="2050"/>
      <c r="AE546" s="2050"/>
      <c r="AF546" s="2050"/>
      <c r="AG546" s="2050"/>
      <c r="AH546" s="2050"/>
      <c r="AI546" s="2050"/>
      <c r="AJ546" s="2051"/>
      <c r="AK546" s="630"/>
      <c r="AL546" s="630"/>
      <c r="AM546" s="630"/>
      <c r="AN546" s="632"/>
      <c r="AP546" s="2091">
        <f>Application!AJ1018</f>
        <v>100415335.60000001</v>
      </c>
      <c r="AQ546" s="2091"/>
      <c r="AR546" s="209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2">
        <f>IFERROR(IF(AND(C530="N/A",C533="N/A"),0,IF(AF542=0,0,IF((AF542*100)&gt;12,12,(AF542*100)))),0)</f>
        <v>12</v>
      </c>
      <c r="AL548" s="2052"/>
      <c r="AM548" s="2053"/>
      <c r="AN548" s="632"/>
      <c r="AP548" s="2107">
        <f>AP545+(AP539*AP543)</f>
        <v>100415335.59999999</v>
      </c>
      <c r="AQ548" s="2108"/>
      <c r="AR548" s="210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3" t="s">
        <v>1486</v>
      </c>
      <c r="AF551" s="1883"/>
      <c r="AG551" s="1883"/>
      <c r="AH551" s="1883"/>
      <c r="AI551" s="1883"/>
      <c r="AJ551" s="1883"/>
      <c r="AK551" s="188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8" t="s">
        <v>2420</v>
      </c>
      <c r="C553" s="1968"/>
      <c r="D553" s="1968"/>
      <c r="E553" s="1968"/>
      <c r="F553" s="1968"/>
      <c r="G553" s="1968"/>
      <c r="H553" s="1968"/>
      <c r="I553" s="1968"/>
      <c r="J553" s="1968"/>
      <c r="K553" s="1968"/>
      <c r="L553" s="1968"/>
      <c r="M553" s="1968"/>
      <c r="N553" s="1968"/>
      <c r="O553" s="1968"/>
      <c r="P553" s="1968"/>
      <c r="Q553" s="1968"/>
      <c r="R553" s="1968"/>
      <c r="S553" s="1968"/>
      <c r="T553" s="1968"/>
      <c r="U553" s="1968"/>
      <c r="V553" s="1968"/>
      <c r="W553" s="1968"/>
      <c r="X553" s="1968"/>
      <c r="Y553" s="1968"/>
      <c r="Z553" s="1968"/>
      <c r="AA553" s="1968"/>
      <c r="AB553" s="1968"/>
      <c r="AC553" s="1968"/>
      <c r="AD553" s="1968"/>
      <c r="AE553" s="1968"/>
      <c r="AF553" s="1968"/>
      <c r="AG553" s="1968"/>
      <c r="AH553" s="1968"/>
      <c r="AI553" s="1968"/>
      <c r="AJ553" s="1968"/>
      <c r="AK553" s="677"/>
      <c r="AL553" s="608"/>
      <c r="AM553" s="638"/>
      <c r="AN553" s="632"/>
    </row>
    <row r="554" spans="1:44" s="585" customFormat="1" ht="12.75" customHeight="1">
      <c r="A554" s="638"/>
      <c r="B554" s="1968"/>
      <c r="C554" s="1968"/>
      <c r="D554" s="1968"/>
      <c r="E554" s="1968"/>
      <c r="F554" s="1968"/>
      <c r="G554" s="1968"/>
      <c r="H554" s="1968"/>
      <c r="I554" s="1968"/>
      <c r="J554" s="1968"/>
      <c r="K554" s="1968"/>
      <c r="L554" s="1968"/>
      <c r="M554" s="1968"/>
      <c r="N554" s="1968"/>
      <c r="O554" s="1968"/>
      <c r="P554" s="1968"/>
      <c r="Q554" s="1968"/>
      <c r="R554" s="1968"/>
      <c r="S554" s="1968"/>
      <c r="T554" s="1968"/>
      <c r="U554" s="1968"/>
      <c r="V554" s="1968"/>
      <c r="W554" s="1968"/>
      <c r="X554" s="1968"/>
      <c r="Y554" s="1968"/>
      <c r="Z554" s="1968"/>
      <c r="AA554" s="1968"/>
      <c r="AB554" s="1968"/>
      <c r="AC554" s="1968"/>
      <c r="AD554" s="1968"/>
      <c r="AE554" s="1968"/>
      <c r="AF554" s="1968"/>
      <c r="AG554" s="1968"/>
      <c r="AH554" s="1968"/>
      <c r="AI554" s="1968"/>
      <c r="AJ554" s="1968"/>
      <c r="AK554" s="677"/>
      <c r="AL554" s="608"/>
      <c r="AM554" s="638"/>
      <c r="AN554" s="632"/>
    </row>
    <row r="555" spans="1:44" s="585" customFormat="1" ht="12.75" customHeight="1">
      <c r="A555" s="638"/>
      <c r="B555" s="1968"/>
      <c r="C555" s="1968"/>
      <c r="D555" s="1968"/>
      <c r="E555" s="1968"/>
      <c r="F555" s="1968"/>
      <c r="G555" s="1968"/>
      <c r="H555" s="1968"/>
      <c r="I555" s="1968"/>
      <c r="J555" s="1968"/>
      <c r="K555" s="1968"/>
      <c r="L555" s="1968"/>
      <c r="M555" s="1968"/>
      <c r="N555" s="1968"/>
      <c r="O555" s="1968"/>
      <c r="P555" s="1968"/>
      <c r="Q555" s="1968"/>
      <c r="R555" s="1968"/>
      <c r="S555" s="1968"/>
      <c r="T555" s="1968"/>
      <c r="U555" s="1968"/>
      <c r="V555" s="1968"/>
      <c r="W555" s="1968"/>
      <c r="X555" s="1968"/>
      <c r="Y555" s="1968"/>
      <c r="Z555" s="1968"/>
      <c r="AA555" s="1968"/>
      <c r="AB555" s="1968"/>
      <c r="AC555" s="1968"/>
      <c r="AD555" s="1968"/>
      <c r="AE555" s="1968"/>
      <c r="AF555" s="1968"/>
      <c r="AG555" s="1968"/>
      <c r="AH555" s="1968"/>
      <c r="AI555" s="1968"/>
      <c r="AJ555" s="1968"/>
      <c r="AK555" s="677"/>
      <c r="AL555" s="608"/>
      <c r="AM555" s="638"/>
      <c r="AN555" s="632"/>
    </row>
    <row r="556" spans="1:44" s="585" customFormat="1" ht="12.75" customHeight="1">
      <c r="A556" s="638"/>
      <c r="B556" s="1968"/>
      <c r="C556" s="1968"/>
      <c r="D556" s="1968"/>
      <c r="E556" s="1968"/>
      <c r="F556" s="1968"/>
      <c r="G556" s="1968"/>
      <c r="H556" s="1968"/>
      <c r="I556" s="1968"/>
      <c r="J556" s="1968"/>
      <c r="K556" s="1968"/>
      <c r="L556" s="1968"/>
      <c r="M556" s="1968"/>
      <c r="N556" s="1968"/>
      <c r="O556" s="1968"/>
      <c r="P556" s="1968"/>
      <c r="Q556" s="1968"/>
      <c r="R556" s="1968"/>
      <c r="S556" s="1968"/>
      <c r="T556" s="1968"/>
      <c r="U556" s="1968"/>
      <c r="V556" s="1968"/>
      <c r="W556" s="1968"/>
      <c r="X556" s="1968"/>
      <c r="Y556" s="1968"/>
      <c r="Z556" s="1968"/>
      <c r="AA556" s="1968"/>
      <c r="AB556" s="1968"/>
      <c r="AC556" s="1968"/>
      <c r="AD556" s="1968"/>
      <c r="AE556" s="1968"/>
      <c r="AF556" s="1968"/>
      <c r="AG556" s="1968"/>
      <c r="AH556" s="1968"/>
      <c r="AI556" s="1968"/>
      <c r="AJ556" s="1968"/>
      <c r="AK556" s="677"/>
      <c r="AL556" s="608"/>
      <c r="AM556" s="638"/>
      <c r="AN556" s="632"/>
    </row>
    <row r="557" spans="1:44" s="585" customFormat="1" ht="12.75" customHeight="1">
      <c r="A557" s="638"/>
      <c r="B557" s="1968"/>
      <c r="C557" s="1968"/>
      <c r="D557" s="1968"/>
      <c r="E557" s="1968"/>
      <c r="F557" s="1968"/>
      <c r="G557" s="1968"/>
      <c r="H557" s="1968"/>
      <c r="I557" s="1968"/>
      <c r="J557" s="1968"/>
      <c r="K557" s="1968"/>
      <c r="L557" s="1968"/>
      <c r="M557" s="1968"/>
      <c r="N557" s="1968"/>
      <c r="O557" s="1968"/>
      <c r="P557" s="1968"/>
      <c r="Q557" s="1968"/>
      <c r="R557" s="1968"/>
      <c r="S557" s="1968"/>
      <c r="T557" s="1968"/>
      <c r="U557" s="1968"/>
      <c r="V557" s="1968"/>
      <c r="W557" s="1968"/>
      <c r="X557" s="1968"/>
      <c r="Y557" s="1968"/>
      <c r="Z557" s="1968"/>
      <c r="AA557" s="1968"/>
      <c r="AB557" s="1968"/>
      <c r="AC557" s="1968"/>
      <c r="AD557" s="1968"/>
      <c r="AE557" s="1968"/>
      <c r="AF557" s="1968"/>
      <c r="AG557" s="1968"/>
      <c r="AH557" s="1968"/>
      <c r="AI557" s="1968"/>
      <c r="AJ557" s="1968"/>
      <c r="AK557" s="677"/>
      <c r="AL557" s="608"/>
      <c r="AM557" s="638"/>
      <c r="AN557" s="632"/>
    </row>
    <row r="558" spans="1:44" s="585" customFormat="1" ht="12.75" customHeight="1">
      <c r="A558" s="638"/>
      <c r="B558" s="1968"/>
      <c r="C558" s="1968"/>
      <c r="D558" s="1968"/>
      <c r="E558" s="1968"/>
      <c r="F558" s="1968"/>
      <c r="G558" s="1968"/>
      <c r="H558" s="1968"/>
      <c r="I558" s="1968"/>
      <c r="J558" s="1968"/>
      <c r="K558" s="1968"/>
      <c r="L558" s="1968"/>
      <c r="M558" s="1968"/>
      <c r="N558" s="1968"/>
      <c r="O558" s="1968"/>
      <c r="P558" s="1968"/>
      <c r="Q558" s="1968"/>
      <c r="R558" s="1968"/>
      <c r="S558" s="1968"/>
      <c r="T558" s="1968"/>
      <c r="U558" s="1968"/>
      <c r="V558" s="1968"/>
      <c r="W558" s="1968"/>
      <c r="X558" s="1968"/>
      <c r="Y558" s="1968"/>
      <c r="Z558" s="1968"/>
      <c r="AA558" s="1968"/>
      <c r="AB558" s="1968"/>
      <c r="AC558" s="1968"/>
      <c r="AD558" s="1968"/>
      <c r="AE558" s="1968"/>
      <c r="AF558" s="1968"/>
      <c r="AG558" s="1968"/>
      <c r="AH558" s="1968"/>
      <c r="AI558" s="1968"/>
      <c r="AJ558" s="1968"/>
      <c r="AK558" s="677"/>
      <c r="AL558" s="608"/>
      <c r="AM558" s="638"/>
      <c r="AN558" s="632"/>
    </row>
    <row r="559" spans="1:44" s="585" customFormat="1" ht="12.75" customHeight="1">
      <c r="A559" s="638"/>
      <c r="B559" s="1968"/>
      <c r="C559" s="1968"/>
      <c r="D559" s="1968"/>
      <c r="E559" s="1968"/>
      <c r="F559" s="1968"/>
      <c r="G559" s="1968"/>
      <c r="H559" s="1968"/>
      <c r="I559" s="1968"/>
      <c r="J559" s="1968"/>
      <c r="K559" s="1968"/>
      <c r="L559" s="1968"/>
      <c r="M559" s="1968"/>
      <c r="N559" s="1968"/>
      <c r="O559" s="1968"/>
      <c r="P559" s="1968"/>
      <c r="Q559" s="1968"/>
      <c r="R559" s="1968"/>
      <c r="S559" s="1968"/>
      <c r="T559" s="1968"/>
      <c r="U559" s="1968"/>
      <c r="V559" s="1968"/>
      <c r="W559" s="1968"/>
      <c r="X559" s="1968"/>
      <c r="Y559" s="1968"/>
      <c r="Z559" s="1968"/>
      <c r="AA559" s="1968"/>
      <c r="AB559" s="1968"/>
      <c r="AC559" s="1968"/>
      <c r="AD559" s="1968"/>
      <c r="AE559" s="1968"/>
      <c r="AF559" s="1968"/>
      <c r="AG559" s="1968"/>
      <c r="AH559" s="1968"/>
      <c r="AI559" s="1968"/>
      <c r="AJ559" s="1968"/>
      <c r="AK559" s="677"/>
      <c r="AL559" s="608"/>
      <c r="AM559" s="638"/>
      <c r="AN559" s="632"/>
    </row>
    <row r="560" spans="1:44" ht="12.75" customHeight="1">
      <c r="A560" s="638"/>
      <c r="B560" s="1968"/>
      <c r="C560" s="1968"/>
      <c r="D560" s="1968"/>
      <c r="E560" s="1968"/>
      <c r="F560" s="1968"/>
      <c r="G560" s="1968"/>
      <c r="H560" s="1968"/>
      <c r="I560" s="1968"/>
      <c r="J560" s="1968"/>
      <c r="K560" s="1968"/>
      <c r="L560" s="1968"/>
      <c r="M560" s="1968"/>
      <c r="N560" s="1968"/>
      <c r="O560" s="1968"/>
      <c r="P560" s="1968"/>
      <c r="Q560" s="1968"/>
      <c r="R560" s="1968"/>
      <c r="S560" s="1968"/>
      <c r="T560" s="1968"/>
      <c r="U560" s="1968"/>
      <c r="V560" s="1968"/>
      <c r="W560" s="1968"/>
      <c r="X560" s="1968"/>
      <c r="Y560" s="1968"/>
      <c r="Z560" s="1968"/>
      <c r="AA560" s="1968"/>
      <c r="AB560" s="1968"/>
      <c r="AC560" s="1968"/>
      <c r="AD560" s="1968"/>
      <c r="AE560" s="1968"/>
      <c r="AF560" s="1968"/>
      <c r="AG560" s="1968"/>
      <c r="AH560" s="1968"/>
      <c r="AI560" s="1968"/>
      <c r="AJ560" s="1968"/>
      <c r="AK560" s="677"/>
      <c r="AL560" s="608"/>
      <c r="AM560" s="638"/>
    </row>
    <row r="561" spans="1:42" s="585" customFormat="1" ht="12.75" customHeight="1">
      <c r="B561" s="1968"/>
      <c r="C561" s="1968"/>
      <c r="D561" s="1968"/>
      <c r="E561" s="1968"/>
      <c r="F561" s="1968"/>
      <c r="G561" s="1968"/>
      <c r="H561" s="1968"/>
      <c r="I561" s="1968"/>
      <c r="J561" s="1968"/>
      <c r="K561" s="1968"/>
      <c r="L561" s="1968"/>
      <c r="M561" s="1968"/>
      <c r="N561" s="1968"/>
      <c r="O561" s="1968"/>
      <c r="P561" s="1968"/>
      <c r="Q561" s="1968"/>
      <c r="R561" s="1968"/>
      <c r="S561" s="1968"/>
      <c r="T561" s="1968"/>
      <c r="U561" s="1968"/>
      <c r="V561" s="1968"/>
      <c r="W561" s="1968"/>
      <c r="X561" s="1968"/>
      <c r="Y561" s="1968"/>
      <c r="Z561" s="1968"/>
      <c r="AA561" s="1968"/>
      <c r="AB561" s="1968"/>
      <c r="AC561" s="1968"/>
      <c r="AD561" s="1968"/>
      <c r="AE561" s="1968"/>
      <c r="AF561" s="1968"/>
      <c r="AG561" s="1968"/>
      <c r="AH561" s="1968"/>
      <c r="AI561" s="1968"/>
      <c r="AJ561" s="196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5" t="s">
        <v>1510</v>
      </c>
      <c r="AG567" s="1915"/>
      <c r="AH567" s="1915"/>
      <c r="AI567" s="1915"/>
      <c r="AJ567" s="1915"/>
      <c r="AK567" s="1915"/>
      <c r="AL567" s="1915"/>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5" t="s">
        <v>1568</v>
      </c>
      <c r="AG574" s="1915"/>
      <c r="AH574" s="1915"/>
      <c r="AI574" s="1915"/>
      <c r="AJ574" s="1915"/>
      <c r="AK574" s="1915"/>
      <c r="AL574" s="1915"/>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5" t="s">
        <v>1550</v>
      </c>
      <c r="AG580" s="1915"/>
      <c r="AH580" s="1915"/>
      <c r="AI580" s="1915"/>
      <c r="AJ580" s="1915"/>
      <c r="AK580" s="1915"/>
      <c r="AL580" s="1915"/>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5" t="s">
        <v>1571</v>
      </c>
      <c r="AG586" s="1915"/>
      <c r="AH586" s="1915"/>
      <c r="AI586" s="1915"/>
      <c r="AJ586" s="1915"/>
      <c r="AK586" s="1915"/>
      <c r="AL586" s="1915"/>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1999" t="s">
        <v>1327</v>
      </c>
      <c r="P590" s="1999"/>
      <c r="Q590" s="1999"/>
      <c r="R590" s="1999"/>
      <c r="S590" s="1999"/>
      <c r="T590" s="1999"/>
      <c r="U590" s="1999"/>
      <c r="V590" s="1999"/>
      <c r="W590" s="1999"/>
      <c r="X590" s="1999"/>
      <c r="Y590" s="1999"/>
      <c r="Z590" s="1999"/>
      <c r="AA590" s="1999"/>
      <c r="AB590" s="199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5" t="s">
        <v>1524</v>
      </c>
      <c r="AG592" s="1915"/>
      <c r="AH592" s="1915"/>
      <c r="AI592" s="1915"/>
      <c r="AJ592" s="1915"/>
      <c r="AK592" s="1915"/>
      <c r="AL592" s="1915"/>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97" t="s">
        <v>600</v>
      </c>
      <c r="I595" s="199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1998" t="s">
        <v>600</v>
      </c>
      <c r="J603" s="1998"/>
      <c r="K603" s="1998"/>
      <c r="L603" s="1998"/>
      <c r="M603" s="1998"/>
      <c r="N603" s="1998"/>
      <c r="O603" s="1998"/>
      <c r="P603" s="1998"/>
      <c r="Q603" s="1998"/>
      <c r="R603" s="1998"/>
      <c r="S603" s="1998"/>
      <c r="T603" s="1998"/>
      <c r="U603" s="1998"/>
      <c r="V603" s="1998"/>
      <c r="W603" s="1998"/>
      <c r="X603" s="1998"/>
      <c r="Y603" s="1998"/>
      <c r="Z603" s="1998"/>
      <c r="AA603" s="1998"/>
      <c r="AB603" s="1998"/>
      <c r="AC603" s="1998"/>
      <c r="AD603" s="1998"/>
      <c r="AE603" s="1998"/>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2" t="s">
        <v>600</v>
      </c>
      <c r="C605" s="1942"/>
      <c r="D605" s="677"/>
      <c r="E605" s="1968" t="s">
        <v>1575</v>
      </c>
      <c r="F605" s="1968"/>
      <c r="G605" s="1968"/>
      <c r="H605" s="1968"/>
      <c r="I605" s="1968"/>
      <c r="J605" s="1968"/>
      <c r="K605" s="1968"/>
      <c r="L605" s="1968"/>
      <c r="M605" s="1968"/>
      <c r="N605" s="1968"/>
      <c r="O605" s="1968"/>
      <c r="P605" s="1968"/>
      <c r="Q605" s="1968"/>
      <c r="R605" s="1968"/>
      <c r="S605" s="1968"/>
      <c r="T605" s="1968"/>
      <c r="U605" s="1968"/>
      <c r="V605" s="1968"/>
      <c r="W605" s="1968"/>
      <c r="X605" s="1968"/>
      <c r="Y605" s="1968"/>
      <c r="Z605" s="1968"/>
      <c r="AA605" s="1968"/>
      <c r="AB605" s="1968"/>
      <c r="AC605" s="1968"/>
      <c r="AD605" s="1968"/>
      <c r="AE605" s="1968"/>
      <c r="AF605" s="1968"/>
      <c r="AG605" s="1968"/>
      <c r="AH605" s="677"/>
      <c r="AI605" s="677"/>
      <c r="AJ605" s="677"/>
      <c r="AK605" s="677"/>
      <c r="AL605" s="677"/>
      <c r="AN605" s="632"/>
    </row>
    <row r="606" spans="2:47" s="585" customFormat="1" ht="12.75" customHeight="1">
      <c r="B606" s="571"/>
      <c r="C606" s="970"/>
      <c r="D606" s="677"/>
      <c r="E606" s="1968"/>
      <c r="F606" s="1968"/>
      <c r="G606" s="1968"/>
      <c r="H606" s="1968"/>
      <c r="I606" s="1968"/>
      <c r="J606" s="1968"/>
      <c r="K606" s="1968"/>
      <c r="L606" s="1968"/>
      <c r="M606" s="1968"/>
      <c r="N606" s="1968"/>
      <c r="O606" s="1968"/>
      <c r="P606" s="1968"/>
      <c r="Q606" s="1968"/>
      <c r="R606" s="1968"/>
      <c r="S606" s="1968"/>
      <c r="T606" s="1968"/>
      <c r="U606" s="1968"/>
      <c r="V606" s="1968"/>
      <c r="W606" s="1968"/>
      <c r="X606" s="1968"/>
      <c r="Y606" s="1968"/>
      <c r="Z606" s="1968"/>
      <c r="AA606" s="1968"/>
      <c r="AB606" s="1968"/>
      <c r="AC606" s="1968"/>
      <c r="AD606" s="1968"/>
      <c r="AE606" s="1968"/>
      <c r="AF606" s="1968"/>
      <c r="AG606" s="1968"/>
      <c r="AH606" s="677"/>
      <c r="AI606" s="677"/>
      <c r="AJ606" s="677"/>
      <c r="AK606" s="677"/>
      <c r="AL606" s="677"/>
      <c r="AN606" s="632"/>
    </row>
    <row r="607" spans="2:47" s="585" customFormat="1" ht="12.75" customHeight="1">
      <c r="B607" s="571"/>
      <c r="C607" s="970"/>
      <c r="D607" s="677"/>
      <c r="E607" s="1968"/>
      <c r="F607" s="1968"/>
      <c r="G607" s="1968"/>
      <c r="H607" s="1968"/>
      <c r="I607" s="1968"/>
      <c r="J607" s="1968"/>
      <c r="K607" s="1968"/>
      <c r="L607" s="1968"/>
      <c r="M607" s="1968"/>
      <c r="N607" s="1968"/>
      <c r="O607" s="1968"/>
      <c r="P607" s="1968"/>
      <c r="Q607" s="1968"/>
      <c r="R607" s="1968"/>
      <c r="S607" s="1968"/>
      <c r="T607" s="1968"/>
      <c r="U607" s="1968"/>
      <c r="V607" s="1968"/>
      <c r="W607" s="1968"/>
      <c r="X607" s="1968"/>
      <c r="Y607" s="1968"/>
      <c r="Z607" s="1968"/>
      <c r="AA607" s="1968"/>
      <c r="AB607" s="1968"/>
      <c r="AC607" s="1968"/>
      <c r="AD607" s="1968"/>
      <c r="AE607" s="1968"/>
      <c r="AF607" s="1968"/>
      <c r="AG607" s="1968"/>
      <c r="AH607" s="677"/>
      <c r="AI607" s="677"/>
      <c r="AJ607" s="677"/>
      <c r="AK607" s="677"/>
      <c r="AL607" s="677"/>
      <c r="AN607" s="632"/>
    </row>
    <row r="608" spans="2:47" s="585" customFormat="1" ht="12.75" customHeight="1">
      <c r="B608" s="571"/>
      <c r="C608" s="970"/>
      <c r="D608" s="677"/>
      <c r="E608" s="1968"/>
      <c r="F608" s="1968"/>
      <c r="G608" s="1968"/>
      <c r="H608" s="1968"/>
      <c r="I608" s="1968"/>
      <c r="J608" s="1968"/>
      <c r="K608" s="1968"/>
      <c r="L608" s="1968"/>
      <c r="M608" s="1968"/>
      <c r="N608" s="1968"/>
      <c r="O608" s="1968"/>
      <c r="P608" s="1968"/>
      <c r="Q608" s="1968"/>
      <c r="R608" s="1968"/>
      <c r="S608" s="1968"/>
      <c r="T608" s="1968"/>
      <c r="U608" s="1968"/>
      <c r="V608" s="1968"/>
      <c r="W608" s="1968"/>
      <c r="X608" s="1968"/>
      <c r="Y608" s="1968"/>
      <c r="Z608" s="1968"/>
      <c r="AA608" s="1968"/>
      <c r="AB608" s="1968"/>
      <c r="AC608" s="1968"/>
      <c r="AD608" s="1968"/>
      <c r="AE608" s="1968"/>
      <c r="AF608" s="1968"/>
      <c r="AG608" s="196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48">
        <f>VLOOKUP($H$595,$AO$575:$AP$580,2,FALSE)+VLOOKUP($I$603,$AO$602:$AP$604,2,FALSE)</f>
        <v>0</v>
      </c>
      <c r="AK610" s="195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1996" t="s">
        <v>1954</v>
      </c>
      <c r="F614" s="1996"/>
      <c r="G614" s="1996"/>
      <c r="H614" s="1996"/>
      <c r="I614" s="1996"/>
      <c r="J614" s="1996"/>
      <c r="K614" s="1996"/>
      <c r="L614" s="1996"/>
      <c r="M614" s="1996"/>
      <c r="N614" s="1996"/>
      <c r="O614" s="1996"/>
      <c r="P614" s="1996"/>
      <c r="Q614" s="1996"/>
      <c r="R614" s="1996"/>
      <c r="S614" s="1996"/>
      <c r="T614" s="1996"/>
      <c r="U614" s="1996"/>
      <c r="V614" s="1996"/>
      <c r="W614" s="1996"/>
      <c r="X614" s="1996"/>
      <c r="Y614" s="1996"/>
      <c r="Z614" s="1996"/>
      <c r="AA614" s="1996"/>
      <c r="AB614" s="1996"/>
      <c r="AC614" s="1996"/>
      <c r="AD614" s="1996"/>
      <c r="AE614" s="574"/>
      <c r="AF614" s="1915" t="s">
        <v>1524</v>
      </c>
      <c r="AG614" s="1915"/>
      <c r="AH614" s="1915"/>
      <c r="AI614" s="1915"/>
      <c r="AJ614" s="1915"/>
      <c r="AK614" s="1915"/>
      <c r="AL614" s="1915"/>
      <c r="AM614" s="585"/>
      <c r="AN614" s="713"/>
    </row>
    <row r="615" spans="1:42" s="585" customFormat="1" ht="12.75" customHeight="1">
      <c r="A615" s="714"/>
      <c r="B615" s="571"/>
      <c r="C615" s="970"/>
      <c r="D615" s="698"/>
      <c r="E615" s="1996"/>
      <c r="F615" s="1996"/>
      <c r="G615" s="1996"/>
      <c r="H615" s="1996"/>
      <c r="I615" s="1996"/>
      <c r="J615" s="1996"/>
      <c r="K615" s="1996"/>
      <c r="L615" s="1996"/>
      <c r="M615" s="1996"/>
      <c r="N615" s="1996"/>
      <c r="O615" s="1996"/>
      <c r="P615" s="1996"/>
      <c r="Q615" s="1996"/>
      <c r="R615" s="1996"/>
      <c r="S615" s="1996"/>
      <c r="T615" s="1996"/>
      <c r="U615" s="1996"/>
      <c r="V615" s="1996"/>
      <c r="W615" s="1996"/>
      <c r="X615" s="1996"/>
      <c r="Y615" s="1996"/>
      <c r="Z615" s="1996"/>
      <c r="AA615" s="1996"/>
      <c r="AB615" s="1996"/>
      <c r="AC615" s="1996"/>
      <c r="AD615" s="1996"/>
      <c r="AE615" s="571"/>
      <c r="AF615" s="571"/>
      <c r="AG615" s="571"/>
      <c r="AH615" s="571"/>
      <c r="AI615" s="571"/>
      <c r="AJ615" s="571"/>
      <c r="AK615" s="571"/>
      <c r="AL615" s="571"/>
      <c r="AN615" s="632"/>
    </row>
    <row r="616" spans="1:42" s="585" customFormat="1" ht="12.75" customHeight="1">
      <c r="B616" s="571"/>
      <c r="C616" s="968"/>
      <c r="D616" s="698"/>
      <c r="E616" s="1996"/>
      <c r="F616" s="1996"/>
      <c r="G616" s="1996"/>
      <c r="H616" s="1996"/>
      <c r="I616" s="1996"/>
      <c r="J616" s="1996"/>
      <c r="K616" s="1996"/>
      <c r="L616" s="1996"/>
      <c r="M616" s="1996"/>
      <c r="N616" s="1996"/>
      <c r="O616" s="1996"/>
      <c r="P616" s="1996"/>
      <c r="Q616" s="1996"/>
      <c r="R616" s="1996"/>
      <c r="S616" s="1996"/>
      <c r="T616" s="1996"/>
      <c r="U616" s="1996"/>
      <c r="V616" s="1996"/>
      <c r="W616" s="1996"/>
      <c r="X616" s="1996"/>
      <c r="Y616" s="1996"/>
      <c r="Z616" s="1996"/>
      <c r="AA616" s="1996"/>
      <c r="AB616" s="1996"/>
      <c r="AC616" s="1996"/>
      <c r="AD616" s="1996"/>
      <c r="AE616" s="571"/>
      <c r="AF616" s="571"/>
      <c r="AG616" s="571"/>
      <c r="AH616" s="571"/>
      <c r="AI616" s="571"/>
      <c r="AJ616" s="571"/>
      <c r="AK616" s="571"/>
      <c r="AL616" s="571"/>
      <c r="AN616" s="632"/>
    </row>
    <row r="617" spans="1:42" s="585" customFormat="1" ht="12.75" customHeight="1">
      <c r="B617" s="571"/>
      <c r="C617" s="968"/>
      <c r="D617" s="698"/>
      <c r="E617" s="1996"/>
      <c r="F617" s="1996"/>
      <c r="G617" s="1996"/>
      <c r="H617" s="1996"/>
      <c r="I617" s="1996"/>
      <c r="J617" s="1996"/>
      <c r="K617" s="1996"/>
      <c r="L617" s="1996"/>
      <c r="M617" s="1996"/>
      <c r="N617" s="1996"/>
      <c r="O617" s="1996"/>
      <c r="P617" s="1996"/>
      <c r="Q617" s="1996"/>
      <c r="R617" s="1996"/>
      <c r="S617" s="1996"/>
      <c r="T617" s="1996"/>
      <c r="U617" s="1996"/>
      <c r="V617" s="1996"/>
      <c r="W617" s="1996"/>
      <c r="X617" s="1996"/>
      <c r="Y617" s="1996"/>
      <c r="Z617" s="1996"/>
      <c r="AA617" s="1996"/>
      <c r="AB617" s="1996"/>
      <c r="AC617" s="1996"/>
      <c r="AD617" s="1996"/>
      <c r="AE617" s="571"/>
      <c r="AF617" s="571"/>
      <c r="AG617" s="571"/>
      <c r="AH617" s="571"/>
      <c r="AI617" s="571"/>
      <c r="AJ617" s="571"/>
      <c r="AK617" s="571"/>
      <c r="AL617" s="571"/>
      <c r="AN617" s="632"/>
    </row>
    <row r="618" spans="1:42" s="585" customFormat="1" ht="12.75" customHeight="1">
      <c r="B618" s="571"/>
      <c r="C618" s="968"/>
      <c r="D618" s="698"/>
      <c r="E618" s="1996"/>
      <c r="F618" s="1996"/>
      <c r="G618" s="1996"/>
      <c r="H618" s="1996"/>
      <c r="I618" s="1996"/>
      <c r="J618" s="1996"/>
      <c r="K618" s="1996"/>
      <c r="L618" s="1996"/>
      <c r="M618" s="1996"/>
      <c r="N618" s="1996"/>
      <c r="O618" s="1996"/>
      <c r="P618" s="1996"/>
      <c r="Q618" s="1996"/>
      <c r="R618" s="1996"/>
      <c r="S618" s="1996"/>
      <c r="T618" s="1996"/>
      <c r="U618" s="1996"/>
      <c r="V618" s="1996"/>
      <c r="W618" s="1996"/>
      <c r="X618" s="1996"/>
      <c r="Y618" s="1996"/>
      <c r="Z618" s="1996"/>
      <c r="AA618" s="1996"/>
      <c r="AB618" s="1996"/>
      <c r="AC618" s="1996"/>
      <c r="AD618" s="1996"/>
      <c r="AE618" s="571"/>
      <c r="AF618" s="571"/>
      <c r="AG618" s="571"/>
      <c r="AH618" s="571"/>
      <c r="AI618" s="571"/>
      <c r="AJ618" s="571"/>
      <c r="AK618" s="571"/>
      <c r="AL618" s="571"/>
      <c r="AN618" s="632"/>
    </row>
    <row r="619" spans="1:42" s="585" customFormat="1" ht="12.75" customHeight="1">
      <c r="B619" s="571"/>
      <c r="C619" s="968"/>
      <c r="D619" s="698"/>
      <c r="E619" s="1996"/>
      <c r="F619" s="1996"/>
      <c r="G619" s="1996"/>
      <c r="H619" s="1996"/>
      <c r="I619" s="1996"/>
      <c r="J619" s="1996"/>
      <c r="K619" s="1996"/>
      <c r="L619" s="1996"/>
      <c r="M619" s="1996"/>
      <c r="N619" s="1996"/>
      <c r="O619" s="1996"/>
      <c r="P619" s="1996"/>
      <c r="Q619" s="1996"/>
      <c r="R619" s="1996"/>
      <c r="S619" s="1996"/>
      <c r="T619" s="1996"/>
      <c r="U619" s="1996"/>
      <c r="V619" s="1996"/>
      <c r="W619" s="1996"/>
      <c r="X619" s="1996"/>
      <c r="Y619" s="1996"/>
      <c r="Z619" s="1996"/>
      <c r="AA619" s="1996"/>
      <c r="AB619" s="1996"/>
      <c r="AC619" s="1996"/>
      <c r="AD619" s="1996"/>
      <c r="AE619" s="571"/>
      <c r="AF619" s="571"/>
      <c r="AG619" s="571"/>
      <c r="AH619" s="571"/>
      <c r="AI619" s="571"/>
      <c r="AJ619" s="571"/>
      <c r="AK619" s="571"/>
      <c r="AL619" s="571"/>
      <c r="AN619" s="632"/>
    </row>
    <row r="620" spans="1:42" s="585" customFormat="1" ht="12.75" customHeight="1">
      <c r="A620" s="672"/>
      <c r="B620" s="651"/>
      <c r="C620" s="977"/>
      <c r="D620" s="698"/>
      <c r="E620" s="1996"/>
      <c r="F620" s="1996"/>
      <c r="G620" s="1996"/>
      <c r="H620" s="1996"/>
      <c r="I620" s="1996"/>
      <c r="J620" s="1996"/>
      <c r="K620" s="1996"/>
      <c r="L620" s="1996"/>
      <c r="M620" s="1996"/>
      <c r="N620" s="1996"/>
      <c r="O620" s="1996"/>
      <c r="P620" s="1996"/>
      <c r="Q620" s="1996"/>
      <c r="R620" s="1996"/>
      <c r="S620" s="1996"/>
      <c r="T620" s="1996"/>
      <c r="U620" s="1996"/>
      <c r="V620" s="1996"/>
      <c r="W620" s="1996"/>
      <c r="X620" s="1996"/>
      <c r="Y620" s="1996"/>
      <c r="Z620" s="1996"/>
      <c r="AA620" s="1996"/>
      <c r="AB620" s="1996"/>
      <c r="AC620" s="1996"/>
      <c r="AD620" s="1996"/>
      <c r="AE620" s="651"/>
      <c r="AF620" s="651"/>
      <c r="AG620" s="651"/>
      <c r="AH620" s="651"/>
      <c r="AI620" s="651"/>
      <c r="AJ620" s="651"/>
      <c r="AK620" s="571"/>
      <c r="AL620" s="571"/>
      <c r="AN620" s="632"/>
    </row>
    <row r="621" spans="1:42" s="585" customFormat="1" ht="12.75" customHeight="1">
      <c r="B621" s="651"/>
      <c r="C621" s="977"/>
      <c r="D621" s="698"/>
      <c r="E621" s="1996"/>
      <c r="F621" s="1996"/>
      <c r="G621" s="1996"/>
      <c r="H621" s="1996"/>
      <c r="I621" s="1996"/>
      <c r="J621" s="1996"/>
      <c r="K621" s="1996"/>
      <c r="L621" s="1996"/>
      <c r="M621" s="1996"/>
      <c r="N621" s="1996"/>
      <c r="O621" s="1996"/>
      <c r="P621" s="1996"/>
      <c r="Q621" s="1996"/>
      <c r="R621" s="1996"/>
      <c r="S621" s="1996"/>
      <c r="T621" s="1996"/>
      <c r="U621" s="1996"/>
      <c r="V621" s="1996"/>
      <c r="W621" s="1996"/>
      <c r="X621" s="1996"/>
      <c r="Y621" s="1996"/>
      <c r="Z621" s="1996"/>
      <c r="AA621" s="1996"/>
      <c r="AB621" s="1996"/>
      <c r="AC621" s="1996"/>
      <c r="AD621" s="199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2" t="s">
        <v>600</v>
      </c>
      <c r="Y623" s="1942"/>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5" t="s">
        <v>1580</v>
      </c>
      <c r="AG625" s="1915"/>
      <c r="AH625" s="1915"/>
      <c r="AI625" s="1915"/>
      <c r="AJ625" s="1915"/>
      <c r="AK625" s="1915"/>
      <c r="AL625" s="1915"/>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97" t="s">
        <v>697</v>
      </c>
      <c r="I627" s="199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48">
        <f>VLOOKUP($H$627,$AO$594:$AP$596,2,FALSE)</f>
        <v>3</v>
      </c>
      <c r="AK629" s="1950"/>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68" t="s">
        <v>2524</v>
      </c>
      <c r="F633" s="1968"/>
      <c r="G633" s="1968"/>
      <c r="H633" s="1968"/>
      <c r="I633" s="1968"/>
      <c r="J633" s="1968"/>
      <c r="K633" s="1968"/>
      <c r="L633" s="1968"/>
      <c r="M633" s="1968"/>
      <c r="N633" s="1968"/>
      <c r="O633" s="1968"/>
      <c r="P633" s="1968"/>
      <c r="Q633" s="1968"/>
      <c r="R633" s="1968"/>
      <c r="S633" s="1968"/>
      <c r="T633" s="1968"/>
      <c r="U633" s="1968"/>
      <c r="V633" s="1968"/>
      <c r="W633" s="1968"/>
      <c r="X633" s="1968"/>
      <c r="Y633" s="1968"/>
      <c r="Z633" s="1968"/>
      <c r="AA633" s="1968"/>
      <c r="AB633" s="1968"/>
      <c r="AC633" s="1968"/>
      <c r="AD633" s="1968"/>
      <c r="AE633" s="571"/>
      <c r="AF633" s="1915" t="s">
        <v>1524</v>
      </c>
      <c r="AG633" s="1915"/>
      <c r="AH633" s="1915"/>
      <c r="AI633" s="1915"/>
      <c r="AJ633" s="1915"/>
      <c r="AK633" s="1915"/>
      <c r="AL633" s="1915"/>
      <c r="AN633" s="632"/>
    </row>
    <row r="634" spans="1:42" s="585" customFormat="1" ht="12.75" customHeight="1">
      <c r="B634" s="571"/>
      <c r="C634" s="571"/>
      <c r="D634" s="698"/>
      <c r="E634" s="1968"/>
      <c r="F634" s="1968"/>
      <c r="G634" s="1968"/>
      <c r="H634" s="1968"/>
      <c r="I634" s="1968"/>
      <c r="J634" s="1968"/>
      <c r="K634" s="1968"/>
      <c r="L634" s="1968"/>
      <c r="M634" s="1968"/>
      <c r="N634" s="1968"/>
      <c r="O634" s="1968"/>
      <c r="P634" s="1968"/>
      <c r="Q634" s="1968"/>
      <c r="R634" s="1968"/>
      <c r="S634" s="1968"/>
      <c r="T634" s="1968"/>
      <c r="U634" s="1968"/>
      <c r="V634" s="1968"/>
      <c r="W634" s="1968"/>
      <c r="X634" s="1968"/>
      <c r="Y634" s="1968"/>
      <c r="Z634" s="1968"/>
      <c r="AA634" s="1968"/>
      <c r="AB634" s="1968"/>
      <c r="AC634" s="1968"/>
      <c r="AD634" s="196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5" t="s">
        <v>1580</v>
      </c>
      <c r="AG636" s="1915"/>
      <c r="AH636" s="1915"/>
      <c r="AI636" s="1915"/>
      <c r="AJ636" s="1915"/>
      <c r="AK636" s="1915"/>
      <c r="AL636" s="1915"/>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97" t="s">
        <v>600</v>
      </c>
      <c r="I639" s="199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48">
        <f>VLOOKUP(H639,AT594:AU596,2,FALSE)</f>
        <v>0</v>
      </c>
      <c r="AK641" s="1950"/>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68" t="s">
        <v>1590</v>
      </c>
      <c r="F646" s="1968"/>
      <c r="G646" s="1968"/>
      <c r="H646" s="1968"/>
      <c r="I646" s="1968"/>
      <c r="J646" s="1968"/>
      <c r="K646" s="1968"/>
      <c r="L646" s="1968"/>
      <c r="M646" s="1968"/>
      <c r="N646" s="1968"/>
      <c r="O646" s="1968"/>
      <c r="P646" s="1968"/>
      <c r="Q646" s="1968"/>
      <c r="R646" s="1968"/>
      <c r="S646" s="1968"/>
      <c r="T646" s="1968"/>
      <c r="U646" s="1968"/>
      <c r="V646" s="1968"/>
      <c r="W646" s="1968"/>
      <c r="X646" s="1968"/>
      <c r="Y646" s="1968"/>
      <c r="Z646" s="1968"/>
      <c r="AA646" s="1968"/>
      <c r="AB646" s="1968"/>
      <c r="AC646" s="1968"/>
      <c r="AD646" s="571"/>
      <c r="AE646" s="571"/>
      <c r="AF646" s="1915" t="s">
        <v>1550</v>
      </c>
      <c r="AG646" s="1915"/>
      <c r="AH646" s="1915"/>
      <c r="AI646" s="1915"/>
      <c r="AJ646" s="1915"/>
      <c r="AK646" s="1915"/>
      <c r="AL646" s="1915"/>
      <c r="AN646" s="632"/>
    </row>
    <row r="647" spans="1:42" s="585" customFormat="1" ht="12.75" customHeight="1">
      <c r="B647" s="571"/>
      <c r="C647" s="574"/>
      <c r="D647" s="571"/>
      <c r="E647" s="1968"/>
      <c r="F647" s="1968"/>
      <c r="G647" s="1968"/>
      <c r="H647" s="1968"/>
      <c r="I647" s="1968"/>
      <c r="J647" s="1968"/>
      <c r="K647" s="1968"/>
      <c r="L647" s="1968"/>
      <c r="M647" s="1968"/>
      <c r="N647" s="1968"/>
      <c r="O647" s="1968"/>
      <c r="P647" s="1968"/>
      <c r="Q647" s="1968"/>
      <c r="R647" s="1968"/>
      <c r="S647" s="1968"/>
      <c r="T647" s="1968"/>
      <c r="U647" s="1968"/>
      <c r="V647" s="1968"/>
      <c r="W647" s="1968"/>
      <c r="X647" s="1968"/>
      <c r="Y647" s="1968"/>
      <c r="Z647" s="1968"/>
      <c r="AA647" s="1968"/>
      <c r="AB647" s="1968"/>
      <c r="AC647" s="1968"/>
      <c r="AD647" s="571"/>
      <c r="AE647" s="571"/>
      <c r="AF647" s="571"/>
      <c r="AG647" s="571"/>
      <c r="AH647" s="571"/>
      <c r="AI647" s="571"/>
      <c r="AJ647" s="571"/>
      <c r="AK647" s="571"/>
      <c r="AL647" s="571"/>
      <c r="AN647" s="632"/>
    </row>
    <row r="648" spans="1:42" s="585" customFormat="1" ht="12.75" customHeight="1">
      <c r="B648" s="571"/>
      <c r="C648" s="574"/>
      <c r="D648" s="698"/>
      <c r="E648" s="1968"/>
      <c r="F648" s="1968"/>
      <c r="G648" s="1968"/>
      <c r="H648" s="1968"/>
      <c r="I648" s="1968"/>
      <c r="J648" s="1968"/>
      <c r="K648" s="1968"/>
      <c r="L648" s="1968"/>
      <c r="M648" s="1968"/>
      <c r="N648" s="1968"/>
      <c r="O648" s="1968"/>
      <c r="P648" s="1968"/>
      <c r="Q648" s="1968"/>
      <c r="R648" s="1968"/>
      <c r="S648" s="1968"/>
      <c r="T648" s="1968"/>
      <c r="U648" s="1968"/>
      <c r="V648" s="1968"/>
      <c r="W648" s="1968"/>
      <c r="X648" s="1968"/>
      <c r="Y648" s="1968"/>
      <c r="Z648" s="1968"/>
      <c r="AA648" s="1968"/>
      <c r="AB648" s="1968"/>
      <c r="AC648" s="196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68" t="s">
        <v>1591</v>
      </c>
      <c r="F650" s="1968"/>
      <c r="G650" s="1968"/>
      <c r="H650" s="1968"/>
      <c r="I650" s="1968"/>
      <c r="J650" s="1968"/>
      <c r="K650" s="1968"/>
      <c r="L650" s="1968"/>
      <c r="M650" s="1968"/>
      <c r="N650" s="1968"/>
      <c r="O650" s="1968"/>
      <c r="P650" s="1968"/>
      <c r="Q650" s="1968"/>
      <c r="R650" s="1968"/>
      <c r="S650" s="1968"/>
      <c r="T650" s="1968"/>
      <c r="U650" s="1968"/>
      <c r="V650" s="1968"/>
      <c r="W650" s="1968"/>
      <c r="X650" s="1968"/>
      <c r="Y650" s="1968"/>
      <c r="Z650" s="1968"/>
      <c r="AA650" s="1968"/>
      <c r="AB650" s="1968"/>
      <c r="AC650" s="1968"/>
      <c r="AD650" s="571"/>
      <c r="AE650" s="571"/>
      <c r="AF650" s="1915" t="s">
        <v>1571</v>
      </c>
      <c r="AG650" s="1915"/>
      <c r="AH650" s="1915"/>
      <c r="AI650" s="1915"/>
      <c r="AJ650" s="1915"/>
      <c r="AK650" s="1915"/>
      <c r="AL650" s="1915"/>
      <c r="AN650" s="632"/>
    </row>
    <row r="651" spans="1:42" s="585" customFormat="1" ht="12.75" customHeight="1">
      <c r="B651" s="571"/>
      <c r="C651" s="574"/>
      <c r="D651" s="571"/>
      <c r="E651" s="1968"/>
      <c r="F651" s="1968"/>
      <c r="G651" s="1968"/>
      <c r="H651" s="1968"/>
      <c r="I651" s="1968"/>
      <c r="J651" s="1968"/>
      <c r="K651" s="1968"/>
      <c r="L651" s="1968"/>
      <c r="M651" s="1968"/>
      <c r="N651" s="1968"/>
      <c r="O651" s="1968"/>
      <c r="P651" s="1968"/>
      <c r="Q651" s="1968"/>
      <c r="R651" s="1968"/>
      <c r="S651" s="1968"/>
      <c r="T651" s="1968"/>
      <c r="U651" s="1968"/>
      <c r="V651" s="1968"/>
      <c r="W651" s="1968"/>
      <c r="X651" s="1968"/>
      <c r="Y651" s="1968"/>
      <c r="Z651" s="1968"/>
      <c r="AA651" s="1968"/>
      <c r="AB651" s="1968"/>
      <c r="AC651" s="1968"/>
      <c r="AD651" s="571"/>
      <c r="AE651" s="571"/>
      <c r="AF651" s="571"/>
      <c r="AG651" s="571"/>
      <c r="AH651" s="571"/>
      <c r="AI651" s="571"/>
      <c r="AJ651" s="571"/>
      <c r="AK651" s="571"/>
      <c r="AL651" s="571"/>
      <c r="AN651" s="632"/>
    </row>
    <row r="652" spans="1:42" s="585" customFormat="1" ht="15" customHeight="1">
      <c r="B652" s="571"/>
      <c r="C652" s="574"/>
      <c r="D652" s="698"/>
      <c r="E652" s="1968"/>
      <c r="F652" s="1968"/>
      <c r="G652" s="1968"/>
      <c r="H652" s="1968"/>
      <c r="I652" s="1968"/>
      <c r="J652" s="1968"/>
      <c r="K652" s="1968"/>
      <c r="L652" s="1968"/>
      <c r="M652" s="1968"/>
      <c r="N652" s="1968"/>
      <c r="O652" s="1968"/>
      <c r="P652" s="1968"/>
      <c r="Q652" s="1968"/>
      <c r="R652" s="1968"/>
      <c r="S652" s="1968"/>
      <c r="T652" s="1968"/>
      <c r="U652" s="1968"/>
      <c r="V652" s="1968"/>
      <c r="W652" s="1968"/>
      <c r="X652" s="1968"/>
      <c r="Y652" s="1968"/>
      <c r="Z652" s="1968"/>
      <c r="AA652" s="1968"/>
      <c r="AB652" s="1968"/>
      <c r="AC652" s="196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68" t="s">
        <v>1592</v>
      </c>
      <c r="F654" s="1968"/>
      <c r="G654" s="1968"/>
      <c r="H654" s="1968"/>
      <c r="I654" s="1968"/>
      <c r="J654" s="1968"/>
      <c r="K654" s="1968"/>
      <c r="L654" s="1968"/>
      <c r="M654" s="1968"/>
      <c r="N654" s="1968"/>
      <c r="O654" s="1968"/>
      <c r="P654" s="1968"/>
      <c r="Q654" s="1968"/>
      <c r="R654" s="1968"/>
      <c r="S654" s="1968"/>
      <c r="T654" s="1968"/>
      <c r="U654" s="1968"/>
      <c r="V654" s="1968"/>
      <c r="W654" s="1968"/>
      <c r="X654" s="1968"/>
      <c r="Y654" s="1968"/>
      <c r="Z654" s="1968"/>
      <c r="AA654" s="1968"/>
      <c r="AB654" s="1968"/>
      <c r="AC654" s="1968"/>
      <c r="AD654" s="571"/>
      <c r="AE654" s="571"/>
      <c r="AF654" s="1915" t="s">
        <v>1524</v>
      </c>
      <c r="AG654" s="1915"/>
      <c r="AH654" s="1915"/>
      <c r="AI654" s="1915"/>
      <c r="AJ654" s="1915"/>
      <c r="AK654" s="1915"/>
      <c r="AL654" s="1915"/>
      <c r="AN654" s="632"/>
    </row>
    <row r="655" spans="1:42" s="585" customFormat="1" ht="12.75" customHeight="1">
      <c r="B655" s="571"/>
      <c r="C655" s="968"/>
      <c r="D655" s="571"/>
      <c r="E655" s="1968"/>
      <c r="F655" s="1968"/>
      <c r="G655" s="1968"/>
      <c r="H655" s="1968"/>
      <c r="I655" s="1968"/>
      <c r="J655" s="1968"/>
      <c r="K655" s="1968"/>
      <c r="L655" s="1968"/>
      <c r="M655" s="1968"/>
      <c r="N655" s="1968"/>
      <c r="O655" s="1968"/>
      <c r="P655" s="1968"/>
      <c r="Q655" s="1968"/>
      <c r="R655" s="1968"/>
      <c r="S655" s="1968"/>
      <c r="T655" s="1968"/>
      <c r="U655" s="1968"/>
      <c r="V655" s="1968"/>
      <c r="W655" s="1968"/>
      <c r="X655" s="1968"/>
      <c r="Y655" s="1968"/>
      <c r="Z655" s="1968"/>
      <c r="AA655" s="1968"/>
      <c r="AB655" s="1968"/>
      <c r="AC655" s="1968"/>
      <c r="AD655" s="571"/>
      <c r="AE655" s="1915"/>
      <c r="AF655" s="1915"/>
      <c r="AG655" s="1915"/>
      <c r="AH655" s="1915"/>
      <c r="AI655" s="1915"/>
      <c r="AJ655" s="1915"/>
      <c r="AK655" s="1915"/>
      <c r="AL655" s="629"/>
      <c r="AN655" s="632"/>
      <c r="AO655" s="585" t="s">
        <v>600</v>
      </c>
      <c r="AP655" s="708">
        <v>0</v>
      </c>
    </row>
    <row r="656" spans="1:42" s="585" customFormat="1" ht="12.75" customHeight="1">
      <c r="A656" s="714"/>
      <c r="B656" s="571"/>
      <c r="C656" s="571"/>
      <c r="D656" s="698"/>
      <c r="E656" s="1968"/>
      <c r="F656" s="1968"/>
      <c r="G656" s="1968"/>
      <c r="H656" s="1968"/>
      <c r="I656" s="1968"/>
      <c r="J656" s="1968"/>
      <c r="K656" s="1968"/>
      <c r="L656" s="1968"/>
      <c r="M656" s="1968"/>
      <c r="N656" s="1968"/>
      <c r="O656" s="1968"/>
      <c r="P656" s="1968"/>
      <c r="Q656" s="1968"/>
      <c r="R656" s="1968"/>
      <c r="S656" s="1968"/>
      <c r="T656" s="1968"/>
      <c r="U656" s="1968"/>
      <c r="V656" s="1968"/>
      <c r="W656" s="1968"/>
      <c r="X656" s="1968"/>
      <c r="Y656" s="1968"/>
      <c r="Z656" s="1968"/>
      <c r="AA656" s="1968"/>
      <c r="AB656" s="1968"/>
      <c r="AC656" s="1968"/>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68" t="s">
        <v>1593</v>
      </c>
      <c r="F658" s="1968"/>
      <c r="G658" s="1968"/>
      <c r="H658" s="1968"/>
      <c r="I658" s="1968"/>
      <c r="J658" s="1968"/>
      <c r="K658" s="1968"/>
      <c r="L658" s="1968"/>
      <c r="M658" s="1968"/>
      <c r="N658" s="1968"/>
      <c r="O658" s="1968"/>
      <c r="P658" s="1968"/>
      <c r="Q658" s="1968"/>
      <c r="R658" s="1968"/>
      <c r="S658" s="1968"/>
      <c r="T658" s="1968"/>
      <c r="U658" s="1968"/>
      <c r="V658" s="1968"/>
      <c r="W658" s="1968"/>
      <c r="X658" s="1968"/>
      <c r="Y658" s="1968"/>
      <c r="Z658" s="1968"/>
      <c r="AA658" s="1968"/>
      <c r="AB658" s="1968"/>
      <c r="AC658" s="1968"/>
      <c r="AD658" s="571"/>
      <c r="AE658" s="571"/>
      <c r="AF658" s="1915" t="s">
        <v>1571</v>
      </c>
      <c r="AG658" s="1915"/>
      <c r="AH658" s="1915"/>
      <c r="AI658" s="1915"/>
      <c r="AJ658" s="1915"/>
      <c r="AK658" s="1915"/>
      <c r="AL658" s="1915"/>
      <c r="AN658" s="632"/>
    </row>
    <row r="659" spans="1:42" s="585" customFormat="1" ht="12.75" customHeight="1">
      <c r="A659" s="705"/>
      <c r="B659" s="571"/>
      <c r="C659" s="984"/>
      <c r="D659" s="698"/>
      <c r="E659" s="1968"/>
      <c r="F659" s="1968"/>
      <c r="G659" s="1968"/>
      <c r="H659" s="1968"/>
      <c r="I659" s="1968"/>
      <c r="J659" s="1968"/>
      <c r="K659" s="1968"/>
      <c r="L659" s="1968"/>
      <c r="M659" s="1968"/>
      <c r="N659" s="1968"/>
      <c r="O659" s="1968"/>
      <c r="P659" s="1968"/>
      <c r="Q659" s="1968"/>
      <c r="R659" s="1968"/>
      <c r="S659" s="1968"/>
      <c r="T659" s="1968"/>
      <c r="U659" s="1968"/>
      <c r="V659" s="1968"/>
      <c r="W659" s="1968"/>
      <c r="X659" s="1968"/>
      <c r="Y659" s="1968"/>
      <c r="Z659" s="1968"/>
      <c r="AA659" s="1968"/>
      <c r="AB659" s="1968"/>
      <c r="AC659" s="196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8"/>
      <c r="F660" s="1968"/>
      <c r="G660" s="1968"/>
      <c r="H660" s="1968"/>
      <c r="I660" s="1968"/>
      <c r="J660" s="1968"/>
      <c r="K660" s="1968"/>
      <c r="L660" s="1968"/>
      <c r="M660" s="1968"/>
      <c r="N660" s="1968"/>
      <c r="O660" s="1968"/>
      <c r="P660" s="1968"/>
      <c r="Q660" s="1968"/>
      <c r="R660" s="1968"/>
      <c r="S660" s="1968"/>
      <c r="T660" s="1968"/>
      <c r="U660" s="1968"/>
      <c r="V660" s="1968"/>
      <c r="W660" s="1968"/>
      <c r="X660" s="1968"/>
      <c r="Y660" s="1968"/>
      <c r="Z660" s="1968"/>
      <c r="AA660" s="1968"/>
      <c r="AB660" s="1968"/>
      <c r="AC660" s="196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68" t="s">
        <v>1594</v>
      </c>
      <c r="F662" s="1968"/>
      <c r="G662" s="1968"/>
      <c r="H662" s="1968"/>
      <c r="I662" s="1968"/>
      <c r="J662" s="1968"/>
      <c r="K662" s="1968"/>
      <c r="L662" s="1968"/>
      <c r="M662" s="1968"/>
      <c r="N662" s="1968"/>
      <c r="O662" s="1968"/>
      <c r="P662" s="1968"/>
      <c r="Q662" s="1968"/>
      <c r="R662" s="1968"/>
      <c r="S662" s="1968"/>
      <c r="T662" s="1968"/>
      <c r="U662" s="1968"/>
      <c r="V662" s="1968"/>
      <c r="W662" s="1968"/>
      <c r="X662" s="1968"/>
      <c r="Y662" s="1968"/>
      <c r="Z662" s="1968"/>
      <c r="AA662" s="1968"/>
      <c r="AB662" s="1968"/>
      <c r="AC662" s="1968"/>
      <c r="AD662" s="571"/>
      <c r="AE662" s="571"/>
      <c r="AF662" s="1915" t="s">
        <v>1524</v>
      </c>
      <c r="AG662" s="1915"/>
      <c r="AH662" s="1915"/>
      <c r="AI662" s="1915"/>
      <c r="AJ662" s="1915"/>
      <c r="AK662" s="1915"/>
      <c r="AL662" s="1915"/>
      <c r="AM662" s="631"/>
      <c r="AN662" s="632"/>
    </row>
    <row r="663" spans="1:42" s="585" customFormat="1" ht="12.75" customHeight="1">
      <c r="B663" s="571"/>
      <c r="C663" s="968"/>
      <c r="D663" s="698"/>
      <c r="E663" s="1968"/>
      <c r="F663" s="1968"/>
      <c r="G663" s="1968"/>
      <c r="H663" s="1968"/>
      <c r="I663" s="1968"/>
      <c r="J663" s="1968"/>
      <c r="K663" s="1968"/>
      <c r="L663" s="1968"/>
      <c r="M663" s="1968"/>
      <c r="N663" s="1968"/>
      <c r="O663" s="1968"/>
      <c r="P663" s="1968"/>
      <c r="Q663" s="1968"/>
      <c r="R663" s="1968"/>
      <c r="S663" s="1968"/>
      <c r="T663" s="1968"/>
      <c r="U663" s="1968"/>
      <c r="V663" s="1968"/>
      <c r="W663" s="1968"/>
      <c r="X663" s="1968"/>
      <c r="Y663" s="1968"/>
      <c r="Z663" s="1968"/>
      <c r="AA663" s="1968"/>
      <c r="AB663" s="1968"/>
      <c r="AC663" s="1968"/>
      <c r="AD663" s="571"/>
      <c r="AE663" s="571"/>
      <c r="AF663" s="571"/>
      <c r="AG663" s="571"/>
      <c r="AH663" s="571"/>
      <c r="AI663" s="571"/>
      <c r="AJ663" s="571"/>
      <c r="AK663" s="571"/>
      <c r="AL663" s="571"/>
      <c r="AM663" s="631"/>
      <c r="AN663" s="632"/>
    </row>
    <row r="664" spans="1:42" s="585" customFormat="1" ht="12.75" customHeight="1">
      <c r="B664" s="571"/>
      <c r="C664" s="968"/>
      <c r="D664" s="698"/>
      <c r="E664" s="1968"/>
      <c r="F664" s="1968"/>
      <c r="G664" s="1968"/>
      <c r="H664" s="1968"/>
      <c r="I664" s="1968"/>
      <c r="J664" s="1968"/>
      <c r="K664" s="1968"/>
      <c r="L664" s="1968"/>
      <c r="M664" s="1968"/>
      <c r="N664" s="1968"/>
      <c r="O664" s="1968"/>
      <c r="P664" s="1968"/>
      <c r="Q664" s="1968"/>
      <c r="R664" s="1968"/>
      <c r="S664" s="1968"/>
      <c r="T664" s="1968"/>
      <c r="U664" s="1968"/>
      <c r="V664" s="1968"/>
      <c r="W664" s="1968"/>
      <c r="X664" s="1968"/>
      <c r="Y664" s="1968"/>
      <c r="Z664" s="1968"/>
      <c r="AA664" s="1968"/>
      <c r="AB664" s="1968"/>
      <c r="AC664" s="196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68" t="s">
        <v>1595</v>
      </c>
      <c r="F666" s="1968"/>
      <c r="G666" s="1968"/>
      <c r="H666" s="1968"/>
      <c r="I666" s="1968"/>
      <c r="J666" s="1968"/>
      <c r="K666" s="1968"/>
      <c r="L666" s="1968"/>
      <c r="M666" s="1968"/>
      <c r="N666" s="1968"/>
      <c r="O666" s="1968"/>
      <c r="P666" s="1968"/>
      <c r="Q666" s="1968"/>
      <c r="R666" s="1968"/>
      <c r="S666" s="1968"/>
      <c r="T666" s="1968"/>
      <c r="U666" s="1968"/>
      <c r="V666" s="1968"/>
      <c r="W666" s="1968"/>
      <c r="X666" s="1968"/>
      <c r="Y666" s="1968"/>
      <c r="Z666" s="1968"/>
      <c r="AA666" s="1968"/>
      <c r="AB666" s="1968"/>
      <c r="AC666" s="1968"/>
      <c r="AD666" s="571"/>
      <c r="AE666" s="571"/>
      <c r="AF666" s="1915" t="s">
        <v>1580</v>
      </c>
      <c r="AG666" s="1915"/>
      <c r="AH666" s="1915"/>
      <c r="AI666" s="1915"/>
      <c r="AJ666" s="1915"/>
      <c r="AK666" s="1915"/>
      <c r="AL666" s="1915"/>
      <c r="AM666" s="631"/>
      <c r="AN666" s="632"/>
    </row>
    <row r="667" spans="1:42" s="585" customFormat="1" ht="12.75" customHeight="1">
      <c r="A667" s="714"/>
      <c r="B667" s="571"/>
      <c r="C667" s="968"/>
      <c r="D667" s="698"/>
      <c r="E667" s="1968"/>
      <c r="F667" s="1968"/>
      <c r="G667" s="1968"/>
      <c r="H667" s="1968"/>
      <c r="I667" s="1968"/>
      <c r="J667" s="1968"/>
      <c r="K667" s="1968"/>
      <c r="L667" s="1968"/>
      <c r="M667" s="1968"/>
      <c r="N667" s="1968"/>
      <c r="O667" s="1968"/>
      <c r="P667" s="1968"/>
      <c r="Q667" s="1968"/>
      <c r="R667" s="1968"/>
      <c r="S667" s="1968"/>
      <c r="T667" s="1968"/>
      <c r="U667" s="1968"/>
      <c r="V667" s="1968"/>
      <c r="W667" s="1968"/>
      <c r="X667" s="1968"/>
      <c r="Y667" s="1968"/>
      <c r="Z667" s="1968"/>
      <c r="AA667" s="1968"/>
      <c r="AB667" s="1968"/>
      <c r="AC667" s="196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8"/>
      <c r="F668" s="1968"/>
      <c r="G668" s="1968"/>
      <c r="H668" s="1968"/>
      <c r="I668" s="1968"/>
      <c r="J668" s="1968"/>
      <c r="K668" s="1968"/>
      <c r="L668" s="1968"/>
      <c r="M668" s="1968"/>
      <c r="N668" s="1968"/>
      <c r="O668" s="1968"/>
      <c r="P668" s="1968"/>
      <c r="Q668" s="1968"/>
      <c r="R668" s="1968"/>
      <c r="S668" s="1968"/>
      <c r="T668" s="1968"/>
      <c r="U668" s="1968"/>
      <c r="V668" s="1968"/>
      <c r="W668" s="1968"/>
      <c r="X668" s="1968"/>
      <c r="Y668" s="1968"/>
      <c r="Z668" s="1968"/>
      <c r="AA668" s="1968"/>
      <c r="AB668" s="1968"/>
      <c r="AC668" s="196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68" t="s">
        <v>1596</v>
      </c>
      <c r="F670" s="1968"/>
      <c r="G670" s="1968"/>
      <c r="H670" s="1968"/>
      <c r="I670" s="1968"/>
      <c r="J670" s="1968"/>
      <c r="K670" s="1968"/>
      <c r="L670" s="1968"/>
      <c r="M670" s="1968"/>
      <c r="N670" s="1968"/>
      <c r="O670" s="1968"/>
      <c r="P670" s="1968"/>
      <c r="Q670" s="1968"/>
      <c r="R670" s="1968"/>
      <c r="S670" s="1968"/>
      <c r="T670" s="1968"/>
      <c r="U670" s="1968"/>
      <c r="V670" s="1968"/>
      <c r="W670" s="1968"/>
      <c r="X670" s="1968"/>
      <c r="Y670" s="1968"/>
      <c r="Z670" s="1968"/>
      <c r="AA670" s="1968"/>
      <c r="AB670" s="1968"/>
      <c r="AC670" s="1968"/>
      <c r="AD670" s="571"/>
      <c r="AE670" s="571"/>
      <c r="AF670" s="1915" t="s">
        <v>1597</v>
      </c>
      <c r="AG670" s="1915"/>
      <c r="AH670" s="1915"/>
      <c r="AI670" s="1915"/>
      <c r="AJ670" s="1915"/>
      <c r="AK670" s="1915"/>
      <c r="AL670" s="1915"/>
      <c r="AM670" s="631"/>
      <c r="AN670" s="632"/>
      <c r="AO670" s="646" t="s">
        <v>697</v>
      </c>
      <c r="AP670" s="585">
        <v>3</v>
      </c>
    </row>
    <row r="671" spans="1:42" s="585" customFormat="1" ht="12.75" customHeight="1">
      <c r="A671" s="714"/>
      <c r="B671" s="571"/>
      <c r="C671" s="968"/>
      <c r="D671" s="698"/>
      <c r="E671" s="1968"/>
      <c r="F671" s="1968"/>
      <c r="G671" s="1968"/>
      <c r="H671" s="1968"/>
      <c r="I671" s="1968"/>
      <c r="J671" s="1968"/>
      <c r="K671" s="1968"/>
      <c r="L671" s="1968"/>
      <c r="M671" s="1968"/>
      <c r="N671" s="1968"/>
      <c r="O671" s="1968"/>
      <c r="P671" s="1968"/>
      <c r="Q671" s="1968"/>
      <c r="R671" s="1968"/>
      <c r="S671" s="1968"/>
      <c r="T671" s="1968"/>
      <c r="U671" s="1968"/>
      <c r="V671" s="1968"/>
      <c r="W671" s="1968"/>
      <c r="X671" s="1968"/>
      <c r="Y671" s="1968"/>
      <c r="Z671" s="1968"/>
      <c r="AA671" s="1968"/>
      <c r="AB671" s="1968"/>
      <c r="AC671" s="1968"/>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68"/>
      <c r="F672" s="1968"/>
      <c r="G672" s="1968"/>
      <c r="H672" s="1968"/>
      <c r="I672" s="1968"/>
      <c r="J672" s="1968"/>
      <c r="K672" s="1968"/>
      <c r="L672" s="1968"/>
      <c r="M672" s="1968"/>
      <c r="N672" s="1968"/>
      <c r="O672" s="1968"/>
      <c r="P672" s="1968"/>
      <c r="Q672" s="1968"/>
      <c r="R672" s="1968"/>
      <c r="S672" s="1968"/>
      <c r="T672" s="1968"/>
      <c r="U672" s="1968"/>
      <c r="V672" s="1968"/>
      <c r="W672" s="1968"/>
      <c r="X672" s="1968"/>
      <c r="Y672" s="1968"/>
      <c r="Z672" s="1968"/>
      <c r="AA672" s="1968"/>
      <c r="AB672" s="1968"/>
      <c r="AC672" s="196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97" t="s">
        <v>279</v>
      </c>
      <c r="I674" s="199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48">
        <f>VLOOKUP($H$674,$AO$622:$AP$629,2,FALSE)</f>
        <v>3</v>
      </c>
      <c r="AK676" s="195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68" t="s">
        <v>2561</v>
      </c>
      <c r="F680" s="1968"/>
      <c r="G680" s="1968"/>
      <c r="H680" s="1968"/>
      <c r="I680" s="1968"/>
      <c r="J680" s="1968"/>
      <c r="K680" s="1968"/>
      <c r="L680" s="1968"/>
      <c r="M680" s="1968"/>
      <c r="N680" s="1968"/>
      <c r="O680" s="1968"/>
      <c r="P680" s="1968"/>
      <c r="Q680" s="1968"/>
      <c r="R680" s="1968"/>
      <c r="S680" s="1968"/>
      <c r="T680" s="1968"/>
      <c r="U680" s="1968"/>
      <c r="V680" s="1968"/>
      <c r="W680" s="1968"/>
      <c r="X680" s="1968"/>
      <c r="Y680" s="1968"/>
      <c r="Z680" s="1968"/>
      <c r="AA680" s="1968"/>
      <c r="AB680" s="1968"/>
      <c r="AC680" s="571"/>
      <c r="AD680" s="571"/>
      <c r="AE680" s="571"/>
      <c r="AF680" s="1915" t="s">
        <v>1524</v>
      </c>
      <c r="AG680" s="1915"/>
      <c r="AH680" s="1915"/>
      <c r="AI680" s="1915"/>
      <c r="AJ680" s="1915"/>
      <c r="AK680" s="1915"/>
      <c r="AL680" s="1915"/>
      <c r="AN680" s="632"/>
    </row>
    <row r="681" spans="1:42" s="585" customFormat="1" ht="12.75" customHeight="1">
      <c r="B681" s="571"/>
      <c r="C681" s="977"/>
      <c r="D681" s="698"/>
      <c r="E681" s="1968"/>
      <c r="F681" s="1968"/>
      <c r="G681" s="1968"/>
      <c r="H681" s="1968"/>
      <c r="I681" s="1968"/>
      <c r="J681" s="1968"/>
      <c r="K681" s="1968"/>
      <c r="L681" s="1968"/>
      <c r="M681" s="1968"/>
      <c r="N681" s="1968"/>
      <c r="O681" s="1968"/>
      <c r="P681" s="1968"/>
      <c r="Q681" s="1968"/>
      <c r="R681" s="1968"/>
      <c r="S681" s="1968"/>
      <c r="T681" s="1968"/>
      <c r="U681" s="1968"/>
      <c r="V681" s="1968"/>
      <c r="W681" s="1968"/>
      <c r="X681" s="1968"/>
      <c r="Y681" s="1968"/>
      <c r="Z681" s="1968"/>
      <c r="AA681" s="1968"/>
      <c r="AB681" s="1968"/>
      <c r="AC681" s="571"/>
      <c r="AD681" s="571"/>
      <c r="AE681" s="651"/>
      <c r="AF681" s="571"/>
      <c r="AG681" s="571"/>
      <c r="AH681" s="571"/>
      <c r="AI681" s="571"/>
      <c r="AJ681" s="571"/>
      <c r="AK681" s="571"/>
      <c r="AL681" s="571"/>
      <c r="AN681" s="632"/>
      <c r="AO681" s="2000"/>
      <c r="AP681" s="2000"/>
    </row>
    <row r="682" spans="1:42" s="585" customFormat="1" ht="12.75" customHeight="1">
      <c r="B682" s="571"/>
      <c r="C682" s="977"/>
      <c r="D682" s="698"/>
      <c r="E682" s="1968"/>
      <c r="F682" s="1968"/>
      <c r="G682" s="1968"/>
      <c r="H682" s="1968"/>
      <c r="I682" s="1968"/>
      <c r="J682" s="1968"/>
      <c r="K682" s="1968"/>
      <c r="L682" s="1968"/>
      <c r="M682" s="1968"/>
      <c r="N682" s="1968"/>
      <c r="O682" s="1968"/>
      <c r="P682" s="1968"/>
      <c r="Q682" s="1968"/>
      <c r="R682" s="1968"/>
      <c r="S682" s="1968"/>
      <c r="T682" s="1968"/>
      <c r="U682" s="1968"/>
      <c r="V682" s="1968"/>
      <c r="W682" s="1968"/>
      <c r="X682" s="1968"/>
      <c r="Y682" s="1968"/>
      <c r="Z682" s="1968"/>
      <c r="AA682" s="1968"/>
      <c r="AB682" s="1968"/>
      <c r="AC682" s="571"/>
      <c r="AD682" s="571"/>
      <c r="AE682" s="651"/>
      <c r="AF682" s="651"/>
      <c r="AG682" s="651"/>
      <c r="AH682" s="651"/>
      <c r="AI682" s="651"/>
      <c r="AJ682" s="651"/>
      <c r="AK682" s="651"/>
      <c r="AL682" s="651"/>
      <c r="AN682" s="632"/>
    </row>
    <row r="683" spans="1:42" s="585" customFormat="1" ht="28.5" customHeight="1">
      <c r="B683" s="571"/>
      <c r="C683" s="977"/>
      <c r="D683" s="698"/>
      <c r="E683" s="1968"/>
      <c r="F683" s="1968"/>
      <c r="G683" s="1968"/>
      <c r="H683" s="1968"/>
      <c r="I683" s="1968"/>
      <c r="J683" s="1968"/>
      <c r="K683" s="1968"/>
      <c r="L683" s="1968"/>
      <c r="M683" s="1968"/>
      <c r="N683" s="1968"/>
      <c r="O683" s="1968"/>
      <c r="P683" s="1968"/>
      <c r="Q683" s="1968"/>
      <c r="R683" s="1968"/>
      <c r="S683" s="1968"/>
      <c r="T683" s="1968"/>
      <c r="U683" s="1968"/>
      <c r="V683" s="1968"/>
      <c r="W683" s="1968"/>
      <c r="X683" s="1968"/>
      <c r="Y683" s="1968"/>
      <c r="Z683" s="1968"/>
      <c r="AA683" s="1968"/>
      <c r="AB683" s="1968"/>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68" t="s">
        <v>2562</v>
      </c>
      <c r="F685" s="1968"/>
      <c r="G685" s="1968"/>
      <c r="H685" s="1968"/>
      <c r="I685" s="1968"/>
      <c r="J685" s="1968"/>
      <c r="K685" s="1968"/>
      <c r="L685" s="1968"/>
      <c r="M685" s="1968"/>
      <c r="N685" s="1968"/>
      <c r="O685" s="1968"/>
      <c r="P685" s="1968"/>
      <c r="Q685" s="1968"/>
      <c r="R685" s="1968"/>
      <c r="S685" s="1968"/>
      <c r="T685" s="1968"/>
      <c r="U685" s="1968"/>
      <c r="V685" s="1968"/>
      <c r="W685" s="1968"/>
      <c r="X685" s="1968"/>
      <c r="Y685" s="1968"/>
      <c r="Z685" s="1968"/>
      <c r="AA685" s="1968"/>
      <c r="AB685" s="1968"/>
      <c r="AC685" s="571"/>
      <c r="AD685" s="571"/>
      <c r="AE685" s="571"/>
      <c r="AF685" s="1915" t="s">
        <v>1580</v>
      </c>
      <c r="AG685" s="1915"/>
      <c r="AH685" s="1915"/>
      <c r="AI685" s="1915"/>
      <c r="AJ685" s="1915"/>
      <c r="AK685" s="1915"/>
      <c r="AL685" s="1915"/>
      <c r="AN685" s="632"/>
      <c r="AO685" s="646" t="s">
        <v>518</v>
      </c>
      <c r="AP685" s="585">
        <v>1</v>
      </c>
    </row>
    <row r="686" spans="1:42" s="585" customFormat="1" ht="12" customHeight="1">
      <c r="B686" s="571"/>
      <c r="C686" s="968"/>
      <c r="D686" s="571"/>
      <c r="E686" s="1968"/>
      <c r="F686" s="1968"/>
      <c r="G686" s="1968"/>
      <c r="H686" s="1968"/>
      <c r="I686" s="1968"/>
      <c r="J686" s="1968"/>
      <c r="K686" s="1968"/>
      <c r="L686" s="1968"/>
      <c r="M686" s="1968"/>
      <c r="N686" s="1968"/>
      <c r="O686" s="1968"/>
      <c r="P686" s="1968"/>
      <c r="Q686" s="1968"/>
      <c r="R686" s="1968"/>
      <c r="S686" s="1968"/>
      <c r="T686" s="1968"/>
      <c r="U686" s="1968"/>
      <c r="V686" s="1968"/>
      <c r="W686" s="1968"/>
      <c r="X686" s="1968"/>
      <c r="Y686" s="1968"/>
      <c r="Z686" s="1968"/>
      <c r="AA686" s="1968"/>
      <c r="AB686" s="1968"/>
      <c r="AC686" s="571"/>
      <c r="AD686" s="571"/>
      <c r="AE686" s="651"/>
      <c r="AF686" s="571"/>
      <c r="AG686" s="571"/>
      <c r="AH686" s="571"/>
      <c r="AI686" s="571"/>
      <c r="AJ686" s="571"/>
      <c r="AK686" s="571"/>
      <c r="AL686" s="571"/>
      <c r="AN686" s="632"/>
    </row>
    <row r="687" spans="1:42" s="585" customFormat="1" ht="12" customHeight="1">
      <c r="B687" s="571"/>
      <c r="C687" s="968"/>
      <c r="D687" s="571"/>
      <c r="E687" s="1968"/>
      <c r="F687" s="1968"/>
      <c r="G687" s="1968"/>
      <c r="H687" s="1968"/>
      <c r="I687" s="1968"/>
      <c r="J687" s="1968"/>
      <c r="K687" s="1968"/>
      <c r="L687" s="1968"/>
      <c r="M687" s="1968"/>
      <c r="N687" s="1968"/>
      <c r="O687" s="1968"/>
      <c r="P687" s="1968"/>
      <c r="Q687" s="1968"/>
      <c r="R687" s="1968"/>
      <c r="S687" s="1968"/>
      <c r="T687" s="1968"/>
      <c r="U687" s="1968"/>
      <c r="V687" s="1968"/>
      <c r="W687" s="1968"/>
      <c r="X687" s="1968"/>
      <c r="Y687" s="1968"/>
      <c r="Z687" s="1968"/>
      <c r="AA687" s="1968"/>
      <c r="AB687" s="196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8"/>
      <c r="F688" s="1968"/>
      <c r="G688" s="1968"/>
      <c r="H688" s="1968"/>
      <c r="I688" s="1968"/>
      <c r="J688" s="1968"/>
      <c r="K688" s="1968"/>
      <c r="L688" s="1968"/>
      <c r="M688" s="1968"/>
      <c r="N688" s="1968"/>
      <c r="O688" s="1968"/>
      <c r="P688" s="1968"/>
      <c r="Q688" s="1968"/>
      <c r="R688" s="1968"/>
      <c r="S688" s="1968"/>
      <c r="T688" s="1968"/>
      <c r="U688" s="1968"/>
      <c r="V688" s="1968"/>
      <c r="W688" s="1968"/>
      <c r="X688" s="1968"/>
      <c r="Y688" s="1968"/>
      <c r="Z688" s="1968"/>
      <c r="AA688" s="1968"/>
      <c r="AB688" s="196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8" t="s">
        <v>1953</v>
      </c>
      <c r="F690" s="1968"/>
      <c r="G690" s="1968"/>
      <c r="H690" s="1968"/>
      <c r="I690" s="1968"/>
      <c r="J690" s="1968"/>
      <c r="K690" s="1968"/>
      <c r="L690" s="1968"/>
      <c r="M690" s="1968"/>
      <c r="N690" s="1968"/>
      <c r="O690" s="1968"/>
      <c r="P690" s="1968"/>
      <c r="Q690" s="1968"/>
      <c r="R690" s="1968"/>
      <c r="S690" s="1968"/>
      <c r="T690" s="1968"/>
      <c r="U690" s="1968"/>
      <c r="V690" s="1968"/>
      <c r="W690" s="1968"/>
      <c r="X690" s="1968"/>
      <c r="Y690" s="1968"/>
      <c r="Z690" s="1968"/>
      <c r="AA690" s="1968"/>
      <c r="AB690" s="196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8"/>
      <c r="F691" s="1968"/>
      <c r="G691" s="1968"/>
      <c r="H691" s="1968"/>
      <c r="I691" s="1968"/>
      <c r="J691" s="1968"/>
      <c r="K691" s="1968"/>
      <c r="L691" s="1968"/>
      <c r="M691" s="1968"/>
      <c r="N691" s="1968"/>
      <c r="O691" s="1968"/>
      <c r="P691" s="1968"/>
      <c r="Q691" s="1968"/>
      <c r="R691" s="1968"/>
      <c r="S691" s="1968"/>
      <c r="T691" s="1968"/>
      <c r="U691" s="1968"/>
      <c r="V691" s="1968"/>
      <c r="W691" s="1968"/>
      <c r="X691" s="1968"/>
      <c r="Y691" s="1968"/>
      <c r="Z691" s="1968"/>
      <c r="AA691" s="1968"/>
      <c r="AB691" s="196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8"/>
      <c r="F692" s="1968"/>
      <c r="G692" s="1968"/>
      <c r="H692" s="1968"/>
      <c r="I692" s="1968"/>
      <c r="J692" s="1968"/>
      <c r="K692" s="1968"/>
      <c r="L692" s="1968"/>
      <c r="M692" s="1968"/>
      <c r="N692" s="1968"/>
      <c r="O692" s="1968"/>
      <c r="P692" s="1968"/>
      <c r="Q692" s="1968"/>
      <c r="R692" s="1968"/>
      <c r="S692" s="1968"/>
      <c r="T692" s="1968"/>
      <c r="U692" s="1968"/>
      <c r="V692" s="1968"/>
      <c r="W692" s="1968"/>
      <c r="X692" s="1968"/>
      <c r="Y692" s="1968"/>
      <c r="Z692" s="1968"/>
      <c r="AA692" s="1968"/>
      <c r="AB692" s="196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97" t="s">
        <v>697</v>
      </c>
      <c r="I694" s="199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48">
        <f>VLOOKUP($H$694,$AO$641:$AP$643,2,FALSE)</f>
        <v>3</v>
      </c>
      <c r="AK696" s="1950"/>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1" t="s">
        <v>1955</v>
      </c>
      <c r="F700" s="2001"/>
      <c r="G700" s="2001"/>
      <c r="H700" s="2001"/>
      <c r="I700" s="2001"/>
      <c r="J700" s="2001"/>
      <c r="K700" s="2001"/>
      <c r="L700" s="2001"/>
      <c r="M700" s="2001"/>
      <c r="N700" s="2001"/>
      <c r="O700" s="2001"/>
      <c r="P700" s="2001"/>
      <c r="Q700" s="2001"/>
      <c r="R700" s="2001"/>
      <c r="S700" s="2001"/>
      <c r="T700" s="2001"/>
      <c r="U700" s="2001"/>
      <c r="V700" s="2001"/>
      <c r="W700" s="2001"/>
      <c r="X700" s="2001"/>
      <c r="Y700" s="2001"/>
      <c r="Z700" s="2001"/>
      <c r="AA700" s="2001"/>
      <c r="AB700" s="2001"/>
      <c r="AC700" s="571"/>
      <c r="AD700" s="571"/>
      <c r="AE700" s="571"/>
      <c r="AF700" s="1915" t="s">
        <v>1524</v>
      </c>
      <c r="AG700" s="1915"/>
      <c r="AH700" s="1915"/>
      <c r="AI700" s="1915"/>
      <c r="AJ700" s="1915"/>
      <c r="AK700" s="1915"/>
      <c r="AL700" s="1915"/>
      <c r="AM700" s="585"/>
      <c r="AN700" s="719"/>
      <c r="AP700" s="605" t="s">
        <v>1604</v>
      </c>
    </row>
    <row r="701" spans="1:42" s="605" customFormat="1" ht="11.85" customHeight="1">
      <c r="A701" s="585"/>
      <c r="B701" s="571"/>
      <c r="C701" s="970"/>
      <c r="D701" s="698"/>
      <c r="E701" s="2001"/>
      <c r="F701" s="2001"/>
      <c r="G701" s="2001"/>
      <c r="H701" s="2001"/>
      <c r="I701" s="2001"/>
      <c r="J701" s="2001"/>
      <c r="K701" s="2001"/>
      <c r="L701" s="2001"/>
      <c r="M701" s="2001"/>
      <c r="N701" s="2001"/>
      <c r="O701" s="2001"/>
      <c r="P701" s="2001"/>
      <c r="Q701" s="2001"/>
      <c r="R701" s="2001"/>
      <c r="S701" s="2001"/>
      <c r="T701" s="2001"/>
      <c r="U701" s="2001"/>
      <c r="V701" s="2001"/>
      <c r="W701" s="2001"/>
      <c r="X701" s="2001"/>
      <c r="Y701" s="2001"/>
      <c r="Z701" s="2001"/>
      <c r="AA701" s="2001"/>
      <c r="AB701" s="2001"/>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01"/>
      <c r="F702" s="2001"/>
      <c r="G702" s="2001"/>
      <c r="H702" s="2001"/>
      <c r="I702" s="2001"/>
      <c r="J702" s="2001"/>
      <c r="K702" s="2001"/>
      <c r="L702" s="2001"/>
      <c r="M702" s="2001"/>
      <c r="N702" s="2001"/>
      <c r="O702" s="2001"/>
      <c r="P702" s="2001"/>
      <c r="Q702" s="2001"/>
      <c r="R702" s="2001"/>
      <c r="S702" s="2001"/>
      <c r="T702" s="2001"/>
      <c r="U702" s="2001"/>
      <c r="V702" s="2001"/>
      <c r="W702" s="2001"/>
      <c r="X702" s="2001"/>
      <c r="Y702" s="2001"/>
      <c r="Z702" s="2001"/>
      <c r="AA702" s="2001"/>
      <c r="AB702" s="2001"/>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02" t="s">
        <v>1607</v>
      </c>
      <c r="F704" s="2002"/>
      <c r="G704" s="2002"/>
      <c r="H704" s="2002"/>
      <c r="I704" s="2002"/>
      <c r="J704" s="2002"/>
      <c r="K704" s="2002"/>
      <c r="L704" s="2002"/>
      <c r="M704" s="2002"/>
      <c r="N704" s="2002"/>
      <c r="O704" s="2002"/>
      <c r="P704" s="2002"/>
      <c r="Q704" s="2002"/>
      <c r="R704" s="2002"/>
      <c r="S704" s="2002"/>
      <c r="T704" s="2002"/>
      <c r="U704" s="2002"/>
      <c r="V704" s="2002"/>
      <c r="W704" s="2002"/>
      <c r="X704" s="2002"/>
      <c r="Y704" s="2002"/>
      <c r="Z704" s="2002"/>
      <c r="AA704" s="2002"/>
      <c r="AB704" s="2002"/>
      <c r="AC704" s="571"/>
      <c r="AD704" s="571"/>
      <c r="AE704" s="571"/>
      <c r="AF704" s="1915" t="s">
        <v>1580</v>
      </c>
      <c r="AG704" s="1915"/>
      <c r="AH704" s="1915"/>
      <c r="AI704" s="1915"/>
      <c r="AJ704" s="1915"/>
      <c r="AK704" s="1915"/>
      <c r="AL704" s="1915"/>
      <c r="AM704" s="585"/>
      <c r="AN704" s="720"/>
    </row>
    <row r="705" spans="1:52" s="605" customFormat="1" ht="12.75" customHeight="1">
      <c r="A705" s="585"/>
      <c r="B705" s="571"/>
      <c r="C705" s="970"/>
      <c r="D705" s="571"/>
      <c r="E705" s="2002"/>
      <c r="F705" s="2002"/>
      <c r="G705" s="2002"/>
      <c r="H705" s="2002"/>
      <c r="I705" s="2002"/>
      <c r="J705" s="2002"/>
      <c r="K705" s="2002"/>
      <c r="L705" s="2002"/>
      <c r="M705" s="2002"/>
      <c r="N705" s="2002"/>
      <c r="O705" s="2002"/>
      <c r="P705" s="2002"/>
      <c r="Q705" s="2002"/>
      <c r="R705" s="2002"/>
      <c r="S705" s="2002"/>
      <c r="T705" s="2002"/>
      <c r="U705" s="2002"/>
      <c r="V705" s="2002"/>
      <c r="W705" s="2002"/>
      <c r="X705" s="2002"/>
      <c r="Y705" s="2002"/>
      <c r="Z705" s="2002"/>
      <c r="AA705" s="2002"/>
      <c r="AB705" s="2002"/>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02"/>
      <c r="F706" s="2002"/>
      <c r="G706" s="2002"/>
      <c r="H706" s="2002"/>
      <c r="I706" s="2002"/>
      <c r="J706" s="2002"/>
      <c r="K706" s="2002"/>
      <c r="L706" s="2002"/>
      <c r="M706" s="2002"/>
      <c r="N706" s="2002"/>
      <c r="O706" s="2002"/>
      <c r="P706" s="2002"/>
      <c r="Q706" s="2002"/>
      <c r="R706" s="2002"/>
      <c r="S706" s="2002"/>
      <c r="T706" s="2002"/>
      <c r="U706" s="2002"/>
      <c r="V706" s="2002"/>
      <c r="W706" s="2002"/>
      <c r="X706" s="2002"/>
      <c r="Y706" s="2002"/>
      <c r="Z706" s="2002"/>
      <c r="AA706" s="2002"/>
      <c r="AB706" s="2002"/>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1997" t="s">
        <v>600</v>
      </c>
      <c r="I708" s="199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48">
        <f>VLOOKUP($H$708,$AO$641:$AP$643,2,FALSE)</f>
        <v>0</v>
      </c>
      <c r="AK710" s="1950"/>
      <c r="AL710" s="630"/>
      <c r="AM710" s="585"/>
      <c r="AN710" s="719"/>
      <c r="AP710" s="1948"/>
      <c r="AQ710" s="195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68" t="s">
        <v>1956</v>
      </c>
      <c r="F714" s="1968"/>
      <c r="G714" s="1968"/>
      <c r="H714" s="1968"/>
      <c r="I714" s="1968"/>
      <c r="J714" s="1968"/>
      <c r="K714" s="1968"/>
      <c r="L714" s="1968"/>
      <c r="M714" s="1968"/>
      <c r="N714" s="1968"/>
      <c r="O714" s="1968"/>
      <c r="P714" s="1968"/>
      <c r="Q714" s="1968"/>
      <c r="R714" s="1968"/>
      <c r="S714" s="1968"/>
      <c r="T714" s="1968"/>
      <c r="U714" s="1968"/>
      <c r="V714" s="1968"/>
      <c r="W714" s="1968"/>
      <c r="X714" s="1968"/>
      <c r="Y714" s="1968"/>
      <c r="Z714" s="1968"/>
      <c r="AA714" s="1968"/>
      <c r="AB714" s="1968"/>
      <c r="AC714" s="571"/>
      <c r="AD714" s="571"/>
      <c r="AE714" s="571"/>
      <c r="AF714" s="1915" t="s">
        <v>1524</v>
      </c>
      <c r="AG714" s="1915"/>
      <c r="AH714" s="1915"/>
      <c r="AI714" s="1915"/>
      <c r="AJ714" s="1915"/>
      <c r="AK714" s="1915"/>
      <c r="AL714" s="1915"/>
      <c r="AM714" s="585"/>
      <c r="AN714" s="719"/>
      <c r="AT714" s="14"/>
      <c r="AU714" s="14"/>
      <c r="AV714" s="14"/>
      <c r="AW714" s="14"/>
      <c r="AX714" s="14"/>
      <c r="AY714" s="14"/>
      <c r="AZ714" s="14"/>
    </row>
    <row r="715" spans="1:52" s="605" customFormat="1">
      <c r="A715" s="585"/>
      <c r="B715" s="571"/>
      <c r="C715" s="970"/>
      <c r="D715" s="698"/>
      <c r="E715" s="1968"/>
      <c r="F715" s="1968"/>
      <c r="G715" s="1968"/>
      <c r="H715" s="1968"/>
      <c r="I715" s="1968"/>
      <c r="J715" s="1968"/>
      <c r="K715" s="1968"/>
      <c r="L715" s="1968"/>
      <c r="M715" s="1968"/>
      <c r="N715" s="1968"/>
      <c r="O715" s="1968"/>
      <c r="P715" s="1968"/>
      <c r="Q715" s="1968"/>
      <c r="R715" s="1968"/>
      <c r="S715" s="1968"/>
      <c r="T715" s="1968"/>
      <c r="U715" s="1968"/>
      <c r="V715" s="1968"/>
      <c r="W715" s="1968"/>
      <c r="X715" s="1968"/>
      <c r="Y715" s="1968"/>
      <c r="Z715" s="1968"/>
      <c r="AA715" s="1968"/>
      <c r="AB715" s="196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68" t="s">
        <v>1611</v>
      </c>
      <c r="F717" s="1968"/>
      <c r="G717" s="1968"/>
      <c r="H717" s="1968"/>
      <c r="I717" s="1968"/>
      <c r="J717" s="1968"/>
      <c r="K717" s="1968"/>
      <c r="L717" s="1968"/>
      <c r="M717" s="1968"/>
      <c r="N717" s="1968"/>
      <c r="O717" s="1968"/>
      <c r="P717" s="1968"/>
      <c r="Q717" s="1968"/>
      <c r="R717" s="1968"/>
      <c r="S717" s="1968"/>
      <c r="T717" s="1968"/>
      <c r="U717" s="1968"/>
      <c r="V717" s="1968"/>
      <c r="W717" s="1968"/>
      <c r="X717" s="1968"/>
      <c r="Y717" s="1968"/>
      <c r="Z717" s="1968"/>
      <c r="AA717" s="1968"/>
      <c r="AB717" s="1968"/>
      <c r="AC717" s="571"/>
      <c r="AD717" s="571"/>
      <c r="AE717" s="571"/>
      <c r="AF717" s="1915" t="s">
        <v>1580</v>
      </c>
      <c r="AG717" s="1915"/>
      <c r="AH717" s="1915"/>
      <c r="AI717" s="1915"/>
      <c r="AJ717" s="1915"/>
      <c r="AK717" s="1915"/>
      <c r="AL717" s="1915"/>
      <c r="AM717" s="585"/>
      <c r="AN717" s="719"/>
      <c r="AT717" s="14"/>
      <c r="AU717" s="14"/>
      <c r="AV717" s="14"/>
      <c r="AW717" s="14"/>
      <c r="AX717" s="14"/>
      <c r="AY717" s="14"/>
      <c r="AZ717" s="14"/>
    </row>
    <row r="718" spans="1:52" s="605" customFormat="1">
      <c r="A718" s="585"/>
      <c r="B718" s="571"/>
      <c r="C718" s="970"/>
      <c r="D718" s="571"/>
      <c r="E718" s="1968"/>
      <c r="F718" s="1968"/>
      <c r="G718" s="1968"/>
      <c r="H718" s="1968"/>
      <c r="I718" s="1968"/>
      <c r="J718" s="1968"/>
      <c r="K718" s="1968"/>
      <c r="L718" s="1968"/>
      <c r="M718" s="1968"/>
      <c r="N718" s="1968"/>
      <c r="O718" s="1968"/>
      <c r="P718" s="1968"/>
      <c r="Q718" s="1968"/>
      <c r="R718" s="1968"/>
      <c r="S718" s="1968"/>
      <c r="T718" s="1968"/>
      <c r="U718" s="1968"/>
      <c r="V718" s="1968"/>
      <c r="W718" s="1968"/>
      <c r="X718" s="1968"/>
      <c r="Y718" s="1968"/>
      <c r="Z718" s="1968"/>
      <c r="AA718" s="1968"/>
      <c r="AB718" s="196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97" t="s">
        <v>600</v>
      </c>
      <c r="I720" s="199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48">
        <f>VLOOKUP($H$720,$AO$655:$AP$657,2,FALSE)</f>
        <v>0</v>
      </c>
      <c r="AK722" s="195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68" t="s">
        <v>1614</v>
      </c>
      <c r="F726" s="1968"/>
      <c r="G726" s="1968"/>
      <c r="H726" s="1968"/>
      <c r="I726" s="1968"/>
      <c r="J726" s="1968"/>
      <c r="K726" s="1968"/>
      <c r="L726" s="1968"/>
      <c r="M726" s="1968"/>
      <c r="N726" s="1968"/>
      <c r="O726" s="1968"/>
      <c r="P726" s="1968"/>
      <c r="Q726" s="1968"/>
      <c r="R726" s="1968"/>
      <c r="S726" s="1968"/>
      <c r="T726" s="1968"/>
      <c r="U726" s="1968"/>
      <c r="V726" s="1968"/>
      <c r="W726" s="1968"/>
      <c r="X726" s="1968"/>
      <c r="Y726" s="1968"/>
      <c r="Z726" s="1968"/>
      <c r="AA726" s="1968"/>
      <c r="AB726" s="1968"/>
      <c r="AC726" s="571"/>
      <c r="AD726" s="571"/>
      <c r="AE726" s="571"/>
      <c r="AF726" s="1915" t="s">
        <v>1524</v>
      </c>
      <c r="AG726" s="1915"/>
      <c r="AH726" s="1915"/>
      <c r="AI726" s="1915"/>
      <c r="AJ726" s="1915"/>
      <c r="AK726" s="1915"/>
      <c r="AL726" s="1915"/>
      <c r="AM726" s="585"/>
      <c r="AN726" s="719"/>
      <c r="AT726" s="14"/>
      <c r="AU726" s="14"/>
      <c r="AV726" s="14"/>
      <c r="AW726" s="14"/>
      <c r="AX726" s="14"/>
      <c r="AY726" s="14"/>
      <c r="AZ726" s="14"/>
    </row>
    <row r="727" spans="1:81" s="605" customFormat="1">
      <c r="A727" s="585"/>
      <c r="B727" s="571"/>
      <c r="C727" s="968"/>
      <c r="D727" s="698"/>
      <c r="E727" s="1968"/>
      <c r="F727" s="1968"/>
      <c r="G727" s="1968"/>
      <c r="H727" s="1968"/>
      <c r="I727" s="1968"/>
      <c r="J727" s="1968"/>
      <c r="K727" s="1968"/>
      <c r="L727" s="1968"/>
      <c r="M727" s="1968"/>
      <c r="N727" s="1968"/>
      <c r="O727" s="1968"/>
      <c r="P727" s="1968"/>
      <c r="Q727" s="1968"/>
      <c r="R727" s="1968"/>
      <c r="S727" s="1968"/>
      <c r="T727" s="1968"/>
      <c r="U727" s="1968"/>
      <c r="V727" s="1968"/>
      <c r="W727" s="1968"/>
      <c r="X727" s="1968"/>
      <c r="Y727" s="1968"/>
      <c r="Z727" s="1968"/>
      <c r="AA727" s="1968"/>
      <c r="AB727" s="196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68"/>
      <c r="F728" s="1968"/>
      <c r="G728" s="1968"/>
      <c r="H728" s="1968"/>
      <c r="I728" s="1968"/>
      <c r="J728" s="1968"/>
      <c r="K728" s="1968"/>
      <c r="L728" s="1968"/>
      <c r="M728" s="1968"/>
      <c r="N728" s="1968"/>
      <c r="O728" s="1968"/>
      <c r="P728" s="1968"/>
      <c r="Q728" s="1968"/>
      <c r="R728" s="1968"/>
      <c r="S728" s="1968"/>
      <c r="T728" s="1968"/>
      <c r="U728" s="1968"/>
      <c r="V728" s="1968"/>
      <c r="W728" s="1968"/>
      <c r="X728" s="1968"/>
      <c r="Y728" s="1968"/>
      <c r="Z728" s="1968"/>
      <c r="AA728" s="1968"/>
      <c r="AB728" s="196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8"/>
      <c r="F729" s="1968"/>
      <c r="G729" s="1968"/>
      <c r="H729" s="1968"/>
      <c r="I729" s="1968"/>
      <c r="J729" s="1968"/>
      <c r="K729" s="1968"/>
      <c r="L729" s="1968"/>
      <c r="M729" s="1968"/>
      <c r="N729" s="1968"/>
      <c r="O729" s="1968"/>
      <c r="P729" s="1968"/>
      <c r="Q729" s="1968"/>
      <c r="R729" s="1968"/>
      <c r="S729" s="1968"/>
      <c r="T729" s="1968"/>
      <c r="U729" s="1968"/>
      <c r="V729" s="1968"/>
      <c r="W729" s="1968"/>
      <c r="X729" s="1968"/>
      <c r="Y729" s="1968"/>
      <c r="Z729" s="1968"/>
      <c r="AA729" s="1968"/>
      <c r="AB729" s="196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68" t="s">
        <v>1615</v>
      </c>
      <c r="F731" s="1968"/>
      <c r="G731" s="1968"/>
      <c r="H731" s="1968"/>
      <c r="I731" s="1968"/>
      <c r="J731" s="1968"/>
      <c r="K731" s="1968"/>
      <c r="L731" s="1968"/>
      <c r="M731" s="1968"/>
      <c r="N731" s="1968"/>
      <c r="O731" s="1968"/>
      <c r="P731" s="1968"/>
      <c r="Q731" s="1968"/>
      <c r="R731" s="1968"/>
      <c r="S731" s="1968"/>
      <c r="T731" s="1968"/>
      <c r="U731" s="1968"/>
      <c r="V731" s="1968"/>
      <c r="W731" s="1968"/>
      <c r="X731" s="1968"/>
      <c r="Y731" s="1968"/>
      <c r="Z731" s="1968"/>
      <c r="AA731" s="1968"/>
      <c r="AB731" s="610"/>
      <c r="AC731" s="571"/>
      <c r="AD731" s="571"/>
      <c r="AE731" s="571"/>
      <c r="AF731" s="1915" t="s">
        <v>1580</v>
      </c>
      <c r="AG731" s="1915"/>
      <c r="AH731" s="1915"/>
      <c r="AI731" s="1915"/>
      <c r="AJ731" s="1915"/>
      <c r="AK731" s="1915"/>
      <c r="AL731" s="1915"/>
      <c r="AM731" s="585"/>
      <c r="AN731" s="719"/>
      <c r="AO731" s="30"/>
      <c r="AP731" s="14"/>
    </row>
    <row r="732" spans="1:81" s="605" customFormat="1">
      <c r="A732" s="585"/>
      <c r="B732" s="571"/>
      <c r="C732" s="968"/>
      <c r="D732" s="698"/>
      <c r="E732" s="1968"/>
      <c r="F732" s="1968"/>
      <c r="G732" s="1968"/>
      <c r="H732" s="1968"/>
      <c r="I732" s="1968"/>
      <c r="J732" s="1968"/>
      <c r="K732" s="1968"/>
      <c r="L732" s="1968"/>
      <c r="M732" s="1968"/>
      <c r="N732" s="1968"/>
      <c r="O732" s="1968"/>
      <c r="P732" s="1968"/>
      <c r="Q732" s="1968"/>
      <c r="R732" s="1968"/>
      <c r="S732" s="1968"/>
      <c r="T732" s="1968"/>
      <c r="U732" s="1968"/>
      <c r="V732" s="1968"/>
      <c r="W732" s="1968"/>
      <c r="X732" s="1968"/>
      <c r="Y732" s="1968"/>
      <c r="Z732" s="1968"/>
      <c r="AA732" s="196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68"/>
      <c r="F733" s="1968"/>
      <c r="G733" s="1968"/>
      <c r="H733" s="1968"/>
      <c r="I733" s="1968"/>
      <c r="J733" s="1968"/>
      <c r="K733" s="1968"/>
      <c r="L733" s="1968"/>
      <c r="M733" s="1968"/>
      <c r="N733" s="1968"/>
      <c r="O733" s="1968"/>
      <c r="P733" s="1968"/>
      <c r="Q733" s="1968"/>
      <c r="R733" s="1968"/>
      <c r="S733" s="1968"/>
      <c r="T733" s="1968"/>
      <c r="U733" s="1968"/>
      <c r="V733" s="1968"/>
      <c r="W733" s="1968"/>
      <c r="X733" s="1968"/>
      <c r="Y733" s="1968"/>
      <c r="Z733" s="1968"/>
      <c r="AA733" s="196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68"/>
      <c r="F734" s="1968"/>
      <c r="G734" s="1968"/>
      <c r="H734" s="1968"/>
      <c r="I734" s="1968"/>
      <c r="J734" s="1968"/>
      <c r="K734" s="1968"/>
      <c r="L734" s="1968"/>
      <c r="M734" s="1968"/>
      <c r="N734" s="1968"/>
      <c r="O734" s="1968"/>
      <c r="P734" s="1968"/>
      <c r="Q734" s="1968"/>
      <c r="R734" s="1968"/>
      <c r="S734" s="1968"/>
      <c r="T734" s="1968"/>
      <c r="U734" s="1968"/>
      <c r="V734" s="1968"/>
      <c r="W734" s="1968"/>
      <c r="X734" s="1968"/>
      <c r="Y734" s="1968"/>
      <c r="Z734" s="1968"/>
      <c r="AA734" s="196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97" t="s">
        <v>600</v>
      </c>
      <c r="I736" s="199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48">
        <f>VLOOKUP($H$736,$AO$669:$AP$671,2,FALSE)</f>
        <v>0</v>
      </c>
      <c r="AK738" s="195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68" t="s">
        <v>1617</v>
      </c>
      <c r="F742" s="1968"/>
      <c r="G742" s="1968"/>
      <c r="H742" s="1968"/>
      <c r="I742" s="1968"/>
      <c r="J742" s="1968"/>
      <c r="K742" s="1968"/>
      <c r="L742" s="1968"/>
      <c r="M742" s="1968"/>
      <c r="N742" s="1968"/>
      <c r="O742" s="1968"/>
      <c r="P742" s="1968"/>
      <c r="Q742" s="1968"/>
      <c r="R742" s="1968"/>
      <c r="S742" s="1968"/>
      <c r="T742" s="1968"/>
      <c r="U742" s="1968"/>
      <c r="V742" s="1968"/>
      <c r="W742" s="1968"/>
      <c r="X742" s="1968"/>
      <c r="Y742" s="1968"/>
      <c r="Z742" s="1968"/>
      <c r="AA742" s="1968"/>
      <c r="AB742" s="1968"/>
      <c r="AC742" s="571"/>
      <c r="AD742" s="571"/>
      <c r="AE742" s="571"/>
      <c r="AF742" s="1915" t="s">
        <v>1580</v>
      </c>
      <c r="AG742" s="1915"/>
      <c r="AH742" s="1915"/>
      <c r="AI742" s="1915"/>
      <c r="AJ742" s="1915"/>
      <c r="AK742" s="1915"/>
      <c r="AL742" s="191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68"/>
      <c r="F743" s="1968"/>
      <c r="G743" s="1968"/>
      <c r="H743" s="1968"/>
      <c r="I743" s="1968"/>
      <c r="J743" s="1968"/>
      <c r="K743" s="1968"/>
      <c r="L743" s="1968"/>
      <c r="M743" s="1968"/>
      <c r="N743" s="1968"/>
      <c r="O743" s="1968"/>
      <c r="P743" s="1968"/>
      <c r="Q743" s="1968"/>
      <c r="R743" s="1968"/>
      <c r="S743" s="1968"/>
      <c r="T743" s="1968"/>
      <c r="U743" s="1968"/>
      <c r="V743" s="1968"/>
      <c r="W743" s="1968"/>
      <c r="X743" s="1968"/>
      <c r="Y743" s="1968"/>
      <c r="Z743" s="1968"/>
      <c r="AA743" s="1968"/>
      <c r="AB743" s="196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68" t="s">
        <v>1618</v>
      </c>
      <c r="F745" s="1968"/>
      <c r="G745" s="1968"/>
      <c r="H745" s="1968"/>
      <c r="I745" s="1968"/>
      <c r="J745" s="1968"/>
      <c r="K745" s="1968"/>
      <c r="L745" s="1968"/>
      <c r="M745" s="1968"/>
      <c r="N745" s="1968"/>
      <c r="O745" s="1968"/>
      <c r="P745" s="1968"/>
      <c r="Q745" s="1968"/>
      <c r="R745" s="1968"/>
      <c r="S745" s="1968"/>
      <c r="T745" s="1968"/>
      <c r="U745" s="1968"/>
      <c r="V745" s="1968"/>
      <c r="W745" s="1968"/>
      <c r="X745" s="1968"/>
      <c r="Y745" s="1968"/>
      <c r="Z745" s="1968"/>
      <c r="AA745" s="1968"/>
      <c r="AB745" s="1968"/>
      <c r="AC745" s="571"/>
      <c r="AD745" s="571"/>
      <c r="AE745" s="571"/>
      <c r="AF745" s="1915" t="s">
        <v>1597</v>
      </c>
      <c r="AG745" s="1915"/>
      <c r="AH745" s="1915"/>
      <c r="AI745" s="1915"/>
      <c r="AJ745" s="1915"/>
      <c r="AK745" s="1915"/>
      <c r="AL745" s="191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8"/>
      <c r="F746" s="1968"/>
      <c r="G746" s="1968"/>
      <c r="H746" s="1968"/>
      <c r="I746" s="1968"/>
      <c r="J746" s="1968"/>
      <c r="K746" s="1968"/>
      <c r="L746" s="1968"/>
      <c r="M746" s="1968"/>
      <c r="N746" s="1968"/>
      <c r="O746" s="1968"/>
      <c r="P746" s="1968"/>
      <c r="Q746" s="1968"/>
      <c r="R746" s="1968"/>
      <c r="S746" s="1968"/>
      <c r="T746" s="1968"/>
      <c r="U746" s="1968"/>
      <c r="V746" s="1968"/>
      <c r="W746" s="1968"/>
      <c r="X746" s="1968"/>
      <c r="Y746" s="1968"/>
      <c r="Z746" s="1968"/>
      <c r="AA746" s="1968"/>
      <c r="AB746" s="196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97" t="s">
        <v>600</v>
      </c>
      <c r="I748" s="199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48">
        <f>VLOOKUP($H$748,$AO$683:$AP$685,2,FALSE)</f>
        <v>0</v>
      </c>
      <c r="AK750" s="195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68" t="s">
        <v>1952</v>
      </c>
      <c r="F754" s="1968"/>
      <c r="G754" s="1968"/>
      <c r="H754" s="1968"/>
      <c r="I754" s="1968"/>
      <c r="J754" s="1968"/>
      <c r="K754" s="1968"/>
      <c r="L754" s="1968"/>
      <c r="M754" s="1968"/>
      <c r="N754" s="1968"/>
      <c r="O754" s="1968"/>
      <c r="P754" s="1968"/>
      <c r="Q754" s="1968"/>
      <c r="R754" s="1968"/>
      <c r="S754" s="1968"/>
      <c r="T754" s="1968"/>
      <c r="U754" s="1968"/>
      <c r="V754" s="1968"/>
      <c r="W754" s="1968"/>
      <c r="X754" s="1968"/>
      <c r="Y754" s="1968"/>
      <c r="Z754" s="1968"/>
      <c r="AA754" s="1968"/>
      <c r="AB754" s="1968"/>
      <c r="AC754" s="1968"/>
      <c r="AD754" s="1968"/>
      <c r="AE754" s="571"/>
      <c r="AF754" s="1915" t="s">
        <v>1580</v>
      </c>
      <c r="AG754" s="1915"/>
      <c r="AH754" s="1915"/>
      <c r="AI754" s="1915"/>
      <c r="AJ754" s="1915"/>
      <c r="AK754" s="1915"/>
      <c r="AL754" s="1915"/>
      <c r="AM754" s="648"/>
      <c r="AN754" s="719"/>
    </row>
    <row r="755" spans="1:81" s="605" customFormat="1" ht="13.7" customHeight="1">
      <c r="A755" s="585"/>
      <c r="B755" s="651"/>
      <c r="C755" s="977"/>
      <c r="D755" s="698"/>
      <c r="E755" s="1968"/>
      <c r="F755" s="1968"/>
      <c r="G755" s="1968"/>
      <c r="H755" s="1968"/>
      <c r="I755" s="1968"/>
      <c r="J755" s="1968"/>
      <c r="K755" s="1968"/>
      <c r="L755" s="1968"/>
      <c r="M755" s="1968"/>
      <c r="N755" s="1968"/>
      <c r="O755" s="1968"/>
      <c r="P755" s="1968"/>
      <c r="Q755" s="1968"/>
      <c r="R755" s="1968"/>
      <c r="S755" s="1968"/>
      <c r="T755" s="1968"/>
      <c r="U755" s="1968"/>
      <c r="V755" s="1968"/>
      <c r="W755" s="1968"/>
      <c r="X755" s="1968"/>
      <c r="Y755" s="1968"/>
      <c r="Z755" s="1968"/>
      <c r="AA755" s="1968"/>
      <c r="AB755" s="1968"/>
      <c r="AC755" s="1968"/>
      <c r="AD755" s="1968"/>
      <c r="AE755" s="571"/>
      <c r="AF755" s="629"/>
      <c r="AG755" s="629"/>
      <c r="AH755" s="629"/>
      <c r="AI755" s="629"/>
      <c r="AJ755" s="629"/>
      <c r="AK755" s="629"/>
      <c r="AL755" s="629"/>
      <c r="AM755" s="648"/>
      <c r="AN755" s="719"/>
    </row>
    <row r="756" spans="1:81" s="605" customFormat="1">
      <c r="A756" s="585"/>
      <c r="B756" s="651"/>
      <c r="C756" s="977"/>
      <c r="D756" s="698"/>
      <c r="E756" s="1968"/>
      <c r="F756" s="1968"/>
      <c r="G756" s="1968"/>
      <c r="H756" s="1968"/>
      <c r="I756" s="1968"/>
      <c r="J756" s="1968"/>
      <c r="K756" s="1968"/>
      <c r="L756" s="1968"/>
      <c r="M756" s="1968"/>
      <c r="N756" s="1968"/>
      <c r="O756" s="1968"/>
      <c r="P756" s="1968"/>
      <c r="Q756" s="1968"/>
      <c r="R756" s="1968"/>
      <c r="S756" s="1968"/>
      <c r="T756" s="1968"/>
      <c r="U756" s="1968"/>
      <c r="V756" s="1968"/>
      <c r="W756" s="1968"/>
      <c r="X756" s="1968"/>
      <c r="Y756" s="1968"/>
      <c r="Z756" s="1968"/>
      <c r="AA756" s="1968"/>
      <c r="AB756" s="1968"/>
      <c r="AC756" s="1968"/>
      <c r="AD756" s="196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68"/>
      <c r="F757" s="1968"/>
      <c r="G757" s="1968"/>
      <c r="H757" s="1968"/>
      <c r="I757" s="1968"/>
      <c r="J757" s="1968"/>
      <c r="K757" s="1968"/>
      <c r="L757" s="1968"/>
      <c r="M757" s="1968"/>
      <c r="N757" s="1968"/>
      <c r="O757" s="1968"/>
      <c r="P757" s="1968"/>
      <c r="Q757" s="1968"/>
      <c r="R757" s="1968"/>
      <c r="S757" s="1968"/>
      <c r="T757" s="1968"/>
      <c r="U757" s="1968"/>
      <c r="V757" s="1968"/>
      <c r="W757" s="1968"/>
      <c r="X757" s="1968"/>
      <c r="Y757" s="1968"/>
      <c r="Z757" s="1968"/>
      <c r="AA757" s="1968"/>
      <c r="AB757" s="1968"/>
      <c r="AC757" s="1968"/>
      <c r="AD757" s="196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3" t="s">
        <v>1957</v>
      </c>
      <c r="F759" s="2003"/>
      <c r="G759" s="2003"/>
      <c r="H759" s="2003"/>
      <c r="I759" s="2003"/>
      <c r="J759" s="2003"/>
      <c r="K759" s="2003"/>
      <c r="L759" s="2003"/>
      <c r="M759" s="2003"/>
      <c r="N759" s="2003"/>
      <c r="O759" s="2003"/>
      <c r="P759" s="2003"/>
      <c r="Q759" s="2003"/>
      <c r="R759" s="2003"/>
      <c r="S759" s="2003"/>
      <c r="T759" s="2003"/>
      <c r="U759" s="2003"/>
      <c r="V759" s="2003"/>
      <c r="W759" s="2003"/>
      <c r="X759" s="2003"/>
      <c r="Y759" s="2003"/>
      <c r="Z759" s="2003"/>
      <c r="AA759" s="2003"/>
      <c r="AB759" s="2003"/>
      <c r="AC759" s="2003"/>
      <c r="AD759" s="2003"/>
      <c r="AE759" s="571"/>
      <c r="AF759" s="1915" t="s">
        <v>1524</v>
      </c>
      <c r="AG759" s="1915"/>
      <c r="AH759" s="1915"/>
      <c r="AI759" s="1915"/>
      <c r="AJ759" s="1915"/>
      <c r="AK759" s="1915"/>
      <c r="AL759" s="1915"/>
      <c r="AM759" s="648"/>
      <c r="AN759" s="632"/>
    </row>
    <row r="760" spans="1:81" s="585" customFormat="1" ht="12.75" customHeight="1">
      <c r="B760" s="651"/>
      <c r="C760" s="977"/>
      <c r="D760" s="698"/>
      <c r="E760" s="2003"/>
      <c r="F760" s="2003"/>
      <c r="G760" s="2003"/>
      <c r="H760" s="2003"/>
      <c r="I760" s="2003"/>
      <c r="J760" s="2003"/>
      <c r="K760" s="2003"/>
      <c r="L760" s="2003"/>
      <c r="M760" s="2003"/>
      <c r="N760" s="2003"/>
      <c r="O760" s="2003"/>
      <c r="P760" s="2003"/>
      <c r="Q760" s="2003"/>
      <c r="R760" s="2003"/>
      <c r="S760" s="2003"/>
      <c r="T760" s="2003"/>
      <c r="U760" s="2003"/>
      <c r="V760" s="2003"/>
      <c r="W760" s="2003"/>
      <c r="X760" s="2003"/>
      <c r="Y760" s="2003"/>
      <c r="Z760" s="2003"/>
      <c r="AA760" s="2003"/>
      <c r="AB760" s="2003"/>
      <c r="AC760" s="2003"/>
      <c r="AD760" s="2003"/>
      <c r="AE760" s="629"/>
      <c r="AF760" s="629"/>
      <c r="AG760" s="629"/>
      <c r="AH760" s="629"/>
      <c r="AI760" s="629"/>
      <c r="AJ760" s="629"/>
      <c r="AK760" s="629"/>
      <c r="AL760" s="629"/>
      <c r="AM760" s="648"/>
      <c r="AN760" s="632"/>
    </row>
    <row r="761" spans="1:81" s="585" customFormat="1" ht="12.75" customHeight="1">
      <c r="B761" s="651"/>
      <c r="C761" s="977"/>
      <c r="D761" s="698"/>
      <c r="E761" s="2003"/>
      <c r="F761" s="2003"/>
      <c r="G761" s="2003"/>
      <c r="H761" s="2003"/>
      <c r="I761" s="2003"/>
      <c r="J761" s="2003"/>
      <c r="K761" s="2003"/>
      <c r="L761" s="2003"/>
      <c r="M761" s="2003"/>
      <c r="N761" s="2003"/>
      <c r="O761" s="2003"/>
      <c r="P761" s="2003"/>
      <c r="Q761" s="2003"/>
      <c r="R761" s="2003"/>
      <c r="S761" s="2003"/>
      <c r="T761" s="2003"/>
      <c r="U761" s="2003"/>
      <c r="V761" s="2003"/>
      <c r="W761" s="2003"/>
      <c r="X761" s="2003"/>
      <c r="Y761" s="2003"/>
      <c r="Z761" s="2003"/>
      <c r="AA761" s="2003"/>
      <c r="AB761" s="2003"/>
      <c r="AC761" s="2003"/>
      <c r="AD761" s="2003"/>
      <c r="AE761" s="629"/>
      <c r="AF761" s="629"/>
      <c r="AG761" s="629"/>
      <c r="AH761" s="629"/>
      <c r="AI761" s="629"/>
      <c r="AJ761" s="629"/>
      <c r="AK761" s="629"/>
      <c r="AL761" s="629"/>
      <c r="AM761" s="648"/>
      <c r="AN761" s="632"/>
    </row>
    <row r="762" spans="1:81" s="585" customFormat="1" ht="12.75" customHeight="1">
      <c r="B762" s="651"/>
      <c r="C762" s="977"/>
      <c r="D762" s="698"/>
      <c r="E762" s="2003"/>
      <c r="F762" s="2003"/>
      <c r="G762" s="2003"/>
      <c r="H762" s="2003"/>
      <c r="I762" s="2003"/>
      <c r="J762" s="2003"/>
      <c r="K762" s="2003"/>
      <c r="L762" s="2003"/>
      <c r="M762" s="2003"/>
      <c r="N762" s="2003"/>
      <c r="O762" s="2003"/>
      <c r="P762" s="2003"/>
      <c r="Q762" s="2003"/>
      <c r="R762" s="2003"/>
      <c r="S762" s="2003"/>
      <c r="T762" s="2003"/>
      <c r="U762" s="2003"/>
      <c r="V762" s="2003"/>
      <c r="W762" s="2003"/>
      <c r="X762" s="2003"/>
      <c r="Y762" s="2003"/>
      <c r="Z762" s="2003"/>
      <c r="AA762" s="2003"/>
      <c r="AB762" s="2003"/>
      <c r="AC762" s="2003"/>
      <c r="AD762" s="200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97" t="s">
        <v>697</v>
      </c>
      <c r="I764" s="199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48">
        <f>VLOOKUP($H$764,$AP$705:$AQ$707,2,FALSE)</f>
        <v>2</v>
      </c>
      <c r="AK766" s="195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68" t="s">
        <v>2430</v>
      </c>
      <c r="F770" s="1968"/>
      <c r="G770" s="1968"/>
      <c r="H770" s="1968"/>
      <c r="I770" s="1968"/>
      <c r="J770" s="1968"/>
      <c r="K770" s="1968"/>
      <c r="L770" s="1968"/>
      <c r="M770" s="1968"/>
      <c r="N770" s="1968"/>
      <c r="O770" s="1968"/>
      <c r="P770" s="1968"/>
      <c r="Q770" s="1968"/>
      <c r="R770" s="1968"/>
      <c r="S770" s="1968"/>
      <c r="T770" s="1968"/>
      <c r="U770" s="1968"/>
      <c r="V770" s="1968"/>
      <c r="W770" s="1968"/>
      <c r="X770" s="1968"/>
      <c r="Y770" s="1968"/>
      <c r="Z770" s="1968"/>
      <c r="AA770" s="1968"/>
      <c r="AB770" s="1968"/>
      <c r="AC770" s="1968"/>
      <c r="AD770" s="1968"/>
      <c r="AE770" s="571"/>
      <c r="AF770" s="1915" t="s">
        <v>1524</v>
      </c>
      <c r="AG770" s="1915"/>
      <c r="AH770" s="1915"/>
      <c r="AI770" s="1915"/>
      <c r="AJ770" s="1915"/>
      <c r="AK770" s="1915"/>
      <c r="AL770" s="1915"/>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68"/>
      <c r="F771" s="1968"/>
      <c r="G771" s="1968"/>
      <c r="H771" s="1968"/>
      <c r="I771" s="1968"/>
      <c r="J771" s="1968"/>
      <c r="K771" s="1968"/>
      <c r="L771" s="1968"/>
      <c r="M771" s="1968"/>
      <c r="N771" s="1968"/>
      <c r="O771" s="1968"/>
      <c r="P771" s="1968"/>
      <c r="Q771" s="1968"/>
      <c r="R771" s="1968"/>
      <c r="S771" s="1968"/>
      <c r="T771" s="1968"/>
      <c r="U771" s="1968"/>
      <c r="V771" s="1968"/>
      <c r="W771" s="1968"/>
      <c r="X771" s="1968"/>
      <c r="Y771" s="1968"/>
      <c r="Z771" s="1968"/>
      <c r="AA771" s="1968"/>
      <c r="AB771" s="1968"/>
      <c r="AC771" s="1968"/>
      <c r="AD771" s="196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68"/>
      <c r="F772" s="1968"/>
      <c r="G772" s="1968"/>
      <c r="H772" s="1968"/>
      <c r="I772" s="1968"/>
      <c r="J772" s="1968"/>
      <c r="K772" s="1968"/>
      <c r="L772" s="1968"/>
      <c r="M772" s="1968"/>
      <c r="N772" s="1968"/>
      <c r="O772" s="1968"/>
      <c r="P772" s="1968"/>
      <c r="Q772" s="1968"/>
      <c r="R772" s="1968"/>
      <c r="S772" s="1968"/>
      <c r="T772" s="1968"/>
      <c r="U772" s="1968"/>
      <c r="V772" s="1968"/>
      <c r="W772" s="1968"/>
      <c r="X772" s="1968"/>
      <c r="Y772" s="1968"/>
      <c r="Z772" s="1968"/>
      <c r="AA772" s="1968"/>
      <c r="AB772" s="1968"/>
      <c r="AC772" s="1968"/>
      <c r="AD772" s="196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68"/>
      <c r="F773" s="1968"/>
      <c r="G773" s="1968"/>
      <c r="H773" s="1968"/>
      <c r="I773" s="1968"/>
      <c r="J773" s="1968"/>
      <c r="K773" s="1968"/>
      <c r="L773" s="1968"/>
      <c r="M773" s="1968"/>
      <c r="N773" s="1968"/>
      <c r="O773" s="1968"/>
      <c r="P773" s="1968"/>
      <c r="Q773" s="1968"/>
      <c r="R773" s="1968"/>
      <c r="S773" s="1968"/>
      <c r="T773" s="1968"/>
      <c r="U773" s="1968"/>
      <c r="V773" s="1968"/>
      <c r="W773" s="1968"/>
      <c r="X773" s="1968"/>
      <c r="Y773" s="1968"/>
      <c r="Z773" s="1968"/>
      <c r="AA773" s="1968"/>
      <c r="AB773" s="1968"/>
      <c r="AC773" s="1968"/>
      <c r="AD773" s="196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97" t="s">
        <v>600</v>
      </c>
      <c r="I775" s="199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48">
        <f>VLOOKUP($H$775,$AO$769:$AP$770,2,FALSE)</f>
        <v>0</v>
      </c>
      <c r="AK777" s="195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48">
        <f>IF(($AJ$610+$AJ$629+$AJ$641+$AJ$676+$AJ$696+$AJ$710+$AJ$722+$AJ$738+$AJ$750+$AJ$766+AJ777)&gt;10,10,($AJ$610+$AJ$629+$AJ$641+$AJ$676+$AJ$696+$AJ$710+$AJ$722+$AJ$738+$AJ$750+$AJ$766+AJ777))</f>
        <v>10</v>
      </c>
      <c r="AL779" s="1949"/>
      <c r="AM779" s="195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4" t="s">
        <v>1745</v>
      </c>
      <c r="B782" s="2055"/>
      <c r="C782" s="2055"/>
      <c r="D782" s="2055"/>
      <c r="E782" s="2055"/>
      <c r="F782" s="2055"/>
      <c r="G782" s="2055"/>
      <c r="H782" s="2055"/>
      <c r="I782" s="2055"/>
      <c r="J782" s="2055"/>
      <c r="K782" s="2055"/>
      <c r="L782" s="2055"/>
      <c r="M782" s="2055"/>
      <c r="N782" s="2055"/>
      <c r="O782" s="2055"/>
      <c r="P782" s="2055"/>
      <c r="Q782" s="2055"/>
      <c r="R782" s="2055"/>
      <c r="S782" s="2055"/>
      <c r="T782" s="2055"/>
      <c r="U782" s="2055"/>
      <c r="V782" s="2055"/>
      <c r="W782" s="2055"/>
      <c r="X782" s="2055"/>
      <c r="Y782" s="2055"/>
      <c r="Z782" s="2055"/>
      <c r="AA782" s="2055"/>
      <c r="AB782" s="2055"/>
      <c r="AC782" s="2055"/>
      <c r="AD782" s="2055"/>
      <c r="AE782" s="2055"/>
      <c r="AF782" s="2055"/>
      <c r="AG782" s="2055"/>
      <c r="AH782" s="2055"/>
      <c r="AI782" s="2055"/>
      <c r="AJ782" s="2055"/>
      <c r="AK782" s="2055"/>
      <c r="AL782" s="2055"/>
      <c r="AM782" s="2055"/>
    </row>
    <row r="783" spans="1:81">
      <c r="A783" s="2056"/>
      <c r="B783" s="2056"/>
      <c r="C783" s="2056"/>
      <c r="D783" s="2056"/>
      <c r="E783" s="2056"/>
      <c r="F783" s="2056"/>
      <c r="G783" s="2056"/>
      <c r="H783" s="2056"/>
      <c r="I783" s="2056"/>
      <c r="J783" s="2056"/>
      <c r="K783" s="2056"/>
      <c r="L783" s="2056"/>
      <c r="M783" s="2056"/>
      <c r="N783" s="2056"/>
      <c r="O783" s="2056"/>
      <c r="P783" s="2056"/>
      <c r="Q783" s="2056"/>
      <c r="R783" s="2056"/>
      <c r="S783" s="2056"/>
      <c r="T783" s="2056"/>
      <c r="U783" s="2056"/>
      <c r="V783" s="2056"/>
      <c r="W783" s="2056"/>
      <c r="X783" s="2056"/>
      <c r="Y783" s="2056"/>
      <c r="Z783" s="2056"/>
      <c r="AA783" s="2056"/>
      <c r="AB783" s="2056"/>
      <c r="AC783" s="2056"/>
      <c r="AD783" s="2056"/>
      <c r="AE783" s="2056"/>
      <c r="AF783" s="2056"/>
      <c r="AG783" s="2056"/>
      <c r="AH783" s="2056"/>
      <c r="AI783" s="2056"/>
      <c r="AJ783" s="2056"/>
      <c r="AK783" s="2056"/>
      <c r="AL783" s="2056"/>
      <c r="AM783" s="205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89"/>
      <c r="B785" s="1989"/>
      <c r="C785" s="1989"/>
      <c r="D785" s="1989"/>
      <c r="E785" s="1989"/>
      <c r="F785" s="1989"/>
      <c r="G785" s="1989"/>
      <c r="H785" s="1989"/>
      <c r="I785" s="1989"/>
      <c r="J785" s="1989"/>
      <c r="K785" s="1989"/>
      <c r="L785" s="1989"/>
      <c r="M785" s="1989"/>
      <c r="N785" s="1989"/>
      <c r="O785" s="1989"/>
      <c r="P785" s="1989"/>
      <c r="Q785" s="1989"/>
      <c r="R785" s="1989"/>
      <c r="S785" s="1989"/>
      <c r="T785" s="1989"/>
      <c r="U785" s="1989"/>
      <c r="V785" s="1989"/>
      <c r="W785" s="1989"/>
      <c r="X785" s="1989"/>
      <c r="Y785" s="1989"/>
      <c r="Z785" s="1989"/>
      <c r="AA785" s="1989"/>
      <c r="AB785" s="1989"/>
      <c r="AC785" s="1989"/>
      <c r="AD785" s="1989"/>
      <c r="AE785" s="1989"/>
      <c r="AF785" s="1989"/>
      <c r="AG785" s="1989"/>
      <c r="AH785" s="1989"/>
      <c r="AI785" s="1989"/>
      <c r="AJ785" s="1989"/>
      <c r="AK785" s="1989"/>
      <c r="AL785" s="1989"/>
      <c r="AM785" s="1989"/>
      <c r="AP785" s="852"/>
      <c r="AQ785" s="852"/>
    </row>
    <row r="786" spans="1:81">
      <c r="A786" s="1989"/>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7" t="s">
        <v>1746</v>
      </c>
      <c r="U787" s="2058"/>
      <c r="V787" s="2058"/>
      <c r="W787" s="2058"/>
      <c r="X787" s="2058"/>
      <c r="Y787" s="2059"/>
      <c r="Z787" s="2057" t="s">
        <v>1747</v>
      </c>
      <c r="AA787" s="2058"/>
      <c r="AB787" s="2058"/>
      <c r="AC787" s="2058"/>
      <c r="AD787" s="2058"/>
      <c r="AE787" s="2059"/>
      <c r="AF787" s="2057" t="s">
        <v>1748</v>
      </c>
      <c r="AG787" s="2058"/>
      <c r="AH787" s="2058"/>
      <c r="AI787" s="2058"/>
      <c r="AJ787" s="2058"/>
      <c r="AK787" s="205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0"/>
      <c r="U788" s="2061"/>
      <c r="V788" s="2061"/>
      <c r="W788" s="2061"/>
      <c r="X788" s="2061"/>
      <c r="Y788" s="2062"/>
      <c r="Z788" s="2060"/>
      <c r="AA788" s="2061"/>
      <c r="AB788" s="2061"/>
      <c r="AC788" s="2061"/>
      <c r="AD788" s="2061"/>
      <c r="AE788" s="2062"/>
      <c r="AF788" s="2060"/>
      <c r="AG788" s="2061"/>
      <c r="AH788" s="2061"/>
      <c r="AI788" s="2061"/>
      <c r="AJ788" s="2061"/>
      <c r="AK788" s="2062"/>
      <c r="AL788" s="854"/>
      <c r="AM788" s="631"/>
      <c r="AO788" s="852"/>
      <c r="AP788" s="852"/>
      <c r="AQ788" s="852"/>
    </row>
    <row r="789" spans="1:81">
      <c r="A789" s="855" t="s">
        <v>769</v>
      </c>
      <c r="B789" s="2037" t="s">
        <v>1476</v>
      </c>
      <c r="C789" s="2037"/>
      <c r="D789" s="2037"/>
      <c r="E789" s="2037"/>
      <c r="F789" s="2037"/>
      <c r="G789" s="2037"/>
      <c r="H789" s="2037"/>
      <c r="I789" s="2037"/>
      <c r="J789" s="2037"/>
      <c r="K789" s="2037"/>
      <c r="L789" s="2037"/>
      <c r="M789" s="2037"/>
      <c r="N789" s="2037"/>
      <c r="O789" s="2037"/>
      <c r="P789" s="2037"/>
      <c r="Q789" s="2037"/>
      <c r="R789" s="2037"/>
      <c r="S789" s="2038"/>
      <c r="T789" s="2039">
        <f>AK56</f>
        <v>0</v>
      </c>
      <c r="U789" s="2040"/>
      <c r="V789" s="2040"/>
      <c r="W789" s="2040"/>
      <c r="X789" s="2040"/>
      <c r="Y789" s="2041"/>
      <c r="Z789" s="2042">
        <v>20</v>
      </c>
      <c r="AA789" s="2040"/>
      <c r="AB789" s="2040"/>
      <c r="AC789" s="2040"/>
      <c r="AD789" s="2040"/>
      <c r="AE789" s="2041"/>
      <c r="AF789" s="2006">
        <f>IF(T789&gt;Z789,Z789,T789)</f>
        <v>0</v>
      </c>
      <c r="AG789" s="2006"/>
      <c r="AH789" s="2006"/>
      <c r="AI789" s="2006"/>
      <c r="AJ789" s="2006"/>
      <c r="AK789" s="2006"/>
      <c r="AL789" s="854"/>
      <c r="AM789" s="631"/>
      <c r="AO789" s="852"/>
      <c r="AP789" s="852"/>
      <c r="AQ789" s="852"/>
    </row>
    <row r="790" spans="1:81">
      <c r="A790" s="855" t="s">
        <v>1718</v>
      </c>
      <c r="B790" s="2037" t="s">
        <v>1485</v>
      </c>
      <c r="C790" s="2037"/>
      <c r="D790" s="2037"/>
      <c r="E790" s="2037"/>
      <c r="F790" s="2037"/>
      <c r="G790" s="2037"/>
      <c r="H790" s="2037"/>
      <c r="I790" s="2037"/>
      <c r="J790" s="2037"/>
      <c r="K790" s="2037"/>
      <c r="L790" s="2037"/>
      <c r="M790" s="2037"/>
      <c r="N790" s="2037"/>
      <c r="O790" s="2037"/>
      <c r="P790" s="2037"/>
      <c r="Q790" s="2037"/>
      <c r="R790" s="2037"/>
      <c r="S790" s="2038"/>
      <c r="T790" s="2039">
        <f>AK78</f>
        <v>10</v>
      </c>
      <c r="U790" s="2040"/>
      <c r="V790" s="2040"/>
      <c r="W790" s="2040"/>
      <c r="X790" s="2040"/>
      <c r="Y790" s="2041"/>
      <c r="Z790" s="2042">
        <v>10</v>
      </c>
      <c r="AA790" s="2040"/>
      <c r="AB790" s="2040"/>
      <c r="AC790" s="2040"/>
      <c r="AD790" s="2040"/>
      <c r="AE790" s="2041"/>
      <c r="AF790" s="2006">
        <f>IF(T790&gt;Z790,Z790,T790)</f>
        <v>10</v>
      </c>
      <c r="AG790" s="2006"/>
      <c r="AH790" s="2006"/>
      <c r="AI790" s="2006"/>
      <c r="AJ790" s="2006"/>
      <c r="AK790" s="2006"/>
      <c r="AL790" s="854"/>
      <c r="AM790" s="631"/>
      <c r="AO790" s="852"/>
      <c r="AP790" s="852"/>
      <c r="AQ790" s="852"/>
    </row>
    <row r="791" spans="1:81">
      <c r="A791" s="855" t="s">
        <v>1727</v>
      </c>
      <c r="B791" s="2037" t="s">
        <v>1495</v>
      </c>
      <c r="C791" s="2037"/>
      <c r="D791" s="2037"/>
      <c r="E791" s="2037"/>
      <c r="F791" s="2037"/>
      <c r="G791" s="2037"/>
      <c r="H791" s="2037"/>
      <c r="I791" s="2037"/>
      <c r="J791" s="2037"/>
      <c r="K791" s="2037"/>
      <c r="L791" s="2037"/>
      <c r="M791" s="2037"/>
      <c r="N791" s="2037"/>
      <c r="O791" s="2037"/>
      <c r="P791" s="2037"/>
      <c r="Q791" s="2037"/>
      <c r="R791" s="2037"/>
      <c r="S791" s="2038"/>
      <c r="T791" s="2039">
        <f ca="1">AK103</f>
        <v>20</v>
      </c>
      <c r="U791" s="2040"/>
      <c r="V791" s="2040"/>
      <c r="W791" s="2040"/>
      <c r="X791" s="2040"/>
      <c r="Y791" s="2041"/>
      <c r="Z791" s="2042">
        <v>20</v>
      </c>
      <c r="AA791" s="2040"/>
      <c r="AB791" s="2040"/>
      <c r="AC791" s="2040"/>
      <c r="AD791" s="2040"/>
      <c r="AE791" s="2041"/>
      <c r="AF791" s="2006">
        <f ca="1">IF(T791&gt;Z791,Z791,T791)</f>
        <v>20</v>
      </c>
      <c r="AG791" s="2006"/>
      <c r="AH791" s="2006"/>
      <c r="AI791" s="2006"/>
      <c r="AJ791" s="2006"/>
      <c r="AK791" s="2006"/>
      <c r="AL791" s="854"/>
      <c r="AM791" s="631"/>
      <c r="AO791" s="852"/>
      <c r="AP791" s="852"/>
      <c r="AQ791" s="852"/>
    </row>
    <row r="792" spans="1:81">
      <c r="A792" s="855" t="s">
        <v>1749</v>
      </c>
      <c r="B792" s="2037" t="s">
        <v>1505</v>
      </c>
      <c r="C792" s="2037"/>
      <c r="D792" s="2037"/>
      <c r="E792" s="2037"/>
      <c r="F792" s="2037"/>
      <c r="G792" s="2037"/>
      <c r="H792" s="2037"/>
      <c r="I792" s="2037"/>
      <c r="J792" s="2037"/>
      <c r="K792" s="2037"/>
      <c r="L792" s="2037"/>
      <c r="M792" s="2037"/>
      <c r="N792" s="2037"/>
      <c r="O792" s="2037"/>
      <c r="P792" s="2037"/>
      <c r="Q792" s="2037"/>
      <c r="R792" s="2037"/>
      <c r="S792" s="2038"/>
      <c r="T792" s="2039">
        <f>AK137</f>
        <v>10</v>
      </c>
      <c r="U792" s="2040"/>
      <c r="V792" s="2040"/>
      <c r="W792" s="2040"/>
      <c r="X792" s="2040"/>
      <c r="Y792" s="2041"/>
      <c r="Z792" s="2042">
        <v>10</v>
      </c>
      <c r="AA792" s="2040"/>
      <c r="AB792" s="2040"/>
      <c r="AC792" s="2040"/>
      <c r="AD792" s="2040"/>
      <c r="AE792" s="2041"/>
      <c r="AF792" s="2006">
        <f>IF(T792&gt;Z792,Z792,T792)</f>
        <v>10</v>
      </c>
      <c r="AG792" s="2006"/>
      <c r="AH792" s="2006"/>
      <c r="AI792" s="2006"/>
      <c r="AJ792" s="2006"/>
      <c r="AK792" s="2006"/>
      <c r="AL792" s="854"/>
      <c r="AM792" s="631"/>
      <c r="AO792" s="852"/>
      <c r="AP792" s="852"/>
      <c r="AQ792" s="852"/>
    </row>
    <row r="793" spans="1:81">
      <c r="A793" s="856" t="s">
        <v>1750</v>
      </c>
      <c r="B793" s="2037" t="s">
        <v>1751</v>
      </c>
      <c r="C793" s="2037"/>
      <c r="D793" s="2037"/>
      <c r="E793" s="2037"/>
      <c r="F793" s="2037"/>
      <c r="G793" s="2037"/>
      <c r="H793" s="2037"/>
      <c r="I793" s="2037"/>
      <c r="J793" s="2037"/>
      <c r="K793" s="2037"/>
      <c r="L793" s="2037"/>
      <c r="M793" s="2037"/>
      <c r="N793" s="2037"/>
      <c r="O793" s="2037"/>
      <c r="P793" s="2037"/>
      <c r="Q793" s="2037"/>
      <c r="R793" s="2037"/>
      <c r="S793" s="2038"/>
      <c r="T793" s="2063">
        <f>SUM(T794:Y795)</f>
        <v>10</v>
      </c>
      <c r="U793" s="2063"/>
      <c r="V793" s="2063"/>
      <c r="W793" s="2063"/>
      <c r="X793" s="2063"/>
      <c r="Y793" s="2063"/>
      <c r="Z793" s="2006">
        <v>10</v>
      </c>
      <c r="AA793" s="2006"/>
      <c r="AB793" s="2006"/>
      <c r="AC793" s="2006"/>
      <c r="AD793" s="2006"/>
      <c r="AE793" s="2006"/>
      <c r="AF793" s="2006">
        <f>IF(T793&gt;Z793,Z793,T793)</f>
        <v>10</v>
      </c>
      <c r="AG793" s="2006"/>
      <c r="AH793" s="2006"/>
      <c r="AI793" s="2006"/>
      <c r="AJ793" s="2006"/>
      <c r="AK793" s="2006"/>
      <c r="AL793" s="854"/>
      <c r="AM793" s="631"/>
    </row>
    <row r="794" spans="1:81">
      <c r="A794" s="570"/>
      <c r="B794" s="636"/>
      <c r="C794" s="2064" t="s">
        <v>1752</v>
      </c>
      <c r="D794" s="2064"/>
      <c r="E794" s="2064"/>
      <c r="F794" s="2064"/>
      <c r="G794" s="2064"/>
      <c r="H794" s="2064"/>
      <c r="I794" s="2064"/>
      <c r="J794" s="2064"/>
      <c r="K794" s="2064"/>
      <c r="L794" s="2064"/>
      <c r="M794" s="2064"/>
      <c r="N794" s="2064"/>
      <c r="O794" s="2064"/>
      <c r="P794" s="2064"/>
      <c r="Q794" s="2064"/>
      <c r="R794" s="2064"/>
      <c r="S794" s="2065"/>
      <c r="T794" s="1943">
        <f>AJ155</f>
        <v>7</v>
      </c>
      <c r="U794" s="1943"/>
      <c r="V794" s="1943"/>
      <c r="W794" s="1943"/>
      <c r="X794" s="1943"/>
      <c r="Y794" s="1943"/>
      <c r="Z794" s="1944">
        <v>7</v>
      </c>
      <c r="AA794" s="1944"/>
      <c r="AB794" s="1944"/>
      <c r="AC794" s="1944"/>
      <c r="AD794" s="1944"/>
      <c r="AE794" s="1944"/>
      <c r="AF794" s="2066"/>
      <c r="AG794" s="2066"/>
      <c r="AH794" s="2066"/>
      <c r="AI794" s="2066"/>
      <c r="AJ794" s="2066"/>
      <c r="AK794" s="2066"/>
      <c r="AL794" s="854"/>
      <c r="AM794" s="631"/>
    </row>
    <row r="795" spans="1:81">
      <c r="A795" s="635"/>
      <c r="B795" s="636"/>
      <c r="C795" s="2064" t="s">
        <v>1753</v>
      </c>
      <c r="D795" s="2064"/>
      <c r="E795" s="2064"/>
      <c r="F795" s="2064"/>
      <c r="G795" s="2064"/>
      <c r="H795" s="2064"/>
      <c r="I795" s="2064"/>
      <c r="J795" s="2064"/>
      <c r="K795" s="2064"/>
      <c r="L795" s="2064"/>
      <c r="M795" s="2064"/>
      <c r="N795" s="2064"/>
      <c r="O795" s="2064"/>
      <c r="P795" s="2064"/>
      <c r="Q795" s="2064"/>
      <c r="R795" s="2064"/>
      <c r="S795" s="2065"/>
      <c r="T795" s="1943">
        <f>AJ169</f>
        <v>3</v>
      </c>
      <c r="U795" s="1943"/>
      <c r="V795" s="1943"/>
      <c r="W795" s="1943"/>
      <c r="X795" s="1943"/>
      <c r="Y795" s="1943"/>
      <c r="Z795" s="1944">
        <v>3</v>
      </c>
      <c r="AA795" s="1944"/>
      <c r="AB795" s="1944"/>
      <c r="AC795" s="1944"/>
      <c r="AD795" s="1944"/>
      <c r="AE795" s="1944"/>
      <c r="AF795" s="2066"/>
      <c r="AG795" s="2066"/>
      <c r="AH795" s="2066"/>
      <c r="AI795" s="2066"/>
      <c r="AJ795" s="2066"/>
      <c r="AK795" s="2066"/>
      <c r="AL795" s="854"/>
      <c r="AM795" s="631"/>
      <c r="AO795" s="585"/>
    </row>
    <row r="796" spans="1:81">
      <c r="A796" s="856" t="s">
        <v>1533</v>
      </c>
      <c r="B796" s="2037" t="s">
        <v>1754</v>
      </c>
      <c r="C796" s="2037"/>
      <c r="D796" s="2037"/>
      <c r="E796" s="2037"/>
      <c r="F796" s="2037"/>
      <c r="G796" s="2037"/>
      <c r="H796" s="2037"/>
      <c r="I796" s="2037"/>
      <c r="J796" s="2037"/>
      <c r="K796" s="2037"/>
      <c r="L796" s="2037"/>
      <c r="M796" s="2037"/>
      <c r="N796" s="2037"/>
      <c r="O796" s="2037"/>
      <c r="P796" s="2037"/>
      <c r="Q796" s="2037"/>
      <c r="R796" s="2037"/>
      <c r="S796" s="2038"/>
      <c r="T796" s="2063">
        <f>AK180</f>
        <v>10</v>
      </c>
      <c r="U796" s="2063"/>
      <c r="V796" s="2063"/>
      <c r="W796" s="2063"/>
      <c r="X796" s="2063"/>
      <c r="Y796" s="2063"/>
      <c r="Z796" s="2006">
        <v>10</v>
      </c>
      <c r="AA796" s="2006"/>
      <c r="AB796" s="2006"/>
      <c r="AC796" s="2006"/>
      <c r="AD796" s="2006"/>
      <c r="AE796" s="2006"/>
      <c r="AF796" s="2006">
        <f>IF(T796&gt;Z796,Z796,T796)</f>
        <v>10</v>
      </c>
      <c r="AG796" s="2006"/>
      <c r="AH796" s="2006"/>
      <c r="AI796" s="2006"/>
      <c r="AJ796" s="2006"/>
      <c r="AK796" s="2006"/>
      <c r="AL796" s="854"/>
      <c r="AM796" s="631"/>
    </row>
    <row r="797" spans="1:81">
      <c r="A797" s="855" t="s">
        <v>1542</v>
      </c>
      <c r="B797" s="2037" t="s">
        <v>1543</v>
      </c>
      <c r="C797" s="2037"/>
      <c r="D797" s="2037"/>
      <c r="E797" s="2037"/>
      <c r="F797" s="2037"/>
      <c r="G797" s="2037"/>
      <c r="H797" s="2037"/>
      <c r="I797" s="2037"/>
      <c r="J797" s="2037"/>
      <c r="K797" s="2037"/>
      <c r="L797" s="2037"/>
      <c r="M797" s="2037"/>
      <c r="N797" s="2037"/>
      <c r="O797" s="2037"/>
      <c r="P797" s="2037"/>
      <c r="Q797" s="2037"/>
      <c r="R797" s="2037"/>
      <c r="S797" s="2038"/>
      <c r="T797" s="2063">
        <f>AK262</f>
        <v>8</v>
      </c>
      <c r="U797" s="2063"/>
      <c r="V797" s="2063"/>
      <c r="W797" s="2063"/>
      <c r="X797" s="2063"/>
      <c r="Y797" s="2063"/>
      <c r="Z797" s="2042">
        <v>8</v>
      </c>
      <c r="AA797" s="2040"/>
      <c r="AB797" s="2040"/>
      <c r="AC797" s="2040"/>
      <c r="AD797" s="2040"/>
      <c r="AE797" s="2041"/>
      <c r="AF797" s="2006">
        <f>IF(T797&gt;Z797,Z797,T797)</f>
        <v>8</v>
      </c>
      <c r="AG797" s="2006"/>
      <c r="AH797" s="2006"/>
      <c r="AI797" s="2006"/>
      <c r="AJ797" s="2006"/>
      <c r="AK797" s="2006"/>
      <c r="AL797" s="854"/>
      <c r="AM797" s="631"/>
    </row>
    <row r="798" spans="1:81" s="569" customFormat="1" hidden="1">
      <c r="A798" s="856" t="s">
        <v>598</v>
      </c>
      <c r="B798" s="2037" t="s">
        <v>1755</v>
      </c>
      <c r="C798" s="2037"/>
      <c r="D798" s="2037"/>
      <c r="E798" s="2037"/>
      <c r="F798" s="2037"/>
      <c r="G798" s="2037"/>
      <c r="H798" s="2037"/>
      <c r="I798" s="2037"/>
      <c r="J798" s="2037"/>
      <c r="K798" s="2037"/>
      <c r="L798" s="2037"/>
      <c r="M798" s="2037"/>
      <c r="N798" s="2037"/>
      <c r="O798" s="2037"/>
      <c r="P798" s="2037"/>
      <c r="Q798" s="2037"/>
      <c r="R798" s="2037"/>
      <c r="S798" s="2038"/>
      <c r="T798" s="2063">
        <f>IF(AK524&gt;5,5,AK524)</f>
        <v>0</v>
      </c>
      <c r="U798" s="2063"/>
      <c r="V798" s="2063"/>
      <c r="W798" s="2063"/>
      <c r="X798" s="2063"/>
      <c r="Y798" s="2063"/>
      <c r="Z798" s="2006">
        <v>5</v>
      </c>
      <c r="AA798" s="2006"/>
      <c r="AB798" s="2006"/>
      <c r="AC798" s="2006"/>
      <c r="AD798" s="2006"/>
      <c r="AE798" s="2006"/>
      <c r="AF798" s="2006">
        <f>IF(T798&gt;Z798,5,T798)</f>
        <v>0</v>
      </c>
      <c r="AG798" s="2006"/>
      <c r="AH798" s="2006"/>
      <c r="AI798" s="2006"/>
      <c r="AJ798" s="2006"/>
      <c r="AK798" s="200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37" t="s">
        <v>1756</v>
      </c>
      <c r="C799" s="2037"/>
      <c r="D799" s="2037"/>
      <c r="E799" s="2037"/>
      <c r="F799" s="2037"/>
      <c r="G799" s="2037"/>
      <c r="H799" s="2037"/>
      <c r="I799" s="2037"/>
      <c r="J799" s="2037"/>
      <c r="K799" s="2037"/>
      <c r="L799" s="2037"/>
      <c r="M799" s="2037"/>
      <c r="N799" s="2037"/>
      <c r="O799" s="2037"/>
      <c r="P799" s="2037"/>
      <c r="Q799" s="2037"/>
      <c r="R799" s="2037"/>
      <c r="S799" s="2038"/>
      <c r="T799" s="2063">
        <f>AK274</f>
        <v>10</v>
      </c>
      <c r="U799" s="2063"/>
      <c r="V799" s="2063"/>
      <c r="W799" s="2063"/>
      <c r="X799" s="2063"/>
      <c r="Y799" s="2063"/>
      <c r="Z799" s="2006">
        <v>10</v>
      </c>
      <c r="AA799" s="2006"/>
      <c r="AB799" s="2006"/>
      <c r="AC799" s="2006"/>
      <c r="AD799" s="2006"/>
      <c r="AE799" s="2006"/>
      <c r="AF799" s="2069">
        <f>IF(T799&gt;Z799,Z799,T799)</f>
        <v>10</v>
      </c>
      <c r="AG799" s="2070"/>
      <c r="AH799" s="2070"/>
      <c r="AI799" s="2070"/>
      <c r="AJ799" s="2070"/>
      <c r="AK799" s="207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37" t="s">
        <v>1553</v>
      </c>
      <c r="C800" s="2037"/>
      <c r="D800" s="2037"/>
      <c r="E800" s="2037"/>
      <c r="F800" s="2037"/>
      <c r="G800" s="2037"/>
      <c r="H800" s="2037"/>
      <c r="I800" s="2037"/>
      <c r="J800" s="2037"/>
      <c r="K800" s="2037"/>
      <c r="L800" s="2037"/>
      <c r="M800" s="2037"/>
      <c r="N800" s="2037"/>
      <c r="O800" s="2037"/>
      <c r="P800" s="2037"/>
      <c r="Q800" s="2037"/>
      <c r="R800" s="2037"/>
      <c r="S800" s="2038"/>
      <c r="T800" s="2063">
        <f>AK327</f>
        <v>10</v>
      </c>
      <c r="U800" s="2063"/>
      <c r="V800" s="2063"/>
      <c r="W800" s="2063"/>
      <c r="X800" s="2063"/>
      <c r="Y800" s="2063"/>
      <c r="Z800" s="2069">
        <v>10</v>
      </c>
      <c r="AA800" s="2070"/>
      <c r="AB800" s="2070"/>
      <c r="AC800" s="2070"/>
      <c r="AD800" s="2070"/>
      <c r="AE800" s="2071"/>
      <c r="AF800" s="2069">
        <f>IF(T800&gt;Z800,Z800,T800)</f>
        <v>10</v>
      </c>
      <c r="AG800" s="2070"/>
      <c r="AH800" s="2070"/>
      <c r="AI800" s="2070"/>
      <c r="AJ800" s="2070"/>
      <c r="AK800" s="207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3">
        <f>AK327</f>
        <v>10</v>
      </c>
      <c r="U801" s="1943"/>
      <c r="V801" s="1943"/>
      <c r="W801" s="1943"/>
      <c r="X801" s="1943"/>
      <c r="Y801" s="1943"/>
      <c r="Z801" s="1948">
        <v>20</v>
      </c>
      <c r="AA801" s="1949"/>
      <c r="AB801" s="1949"/>
      <c r="AC801" s="1949"/>
      <c r="AD801" s="1949"/>
      <c r="AE801" s="1950"/>
      <c r="AF801" s="2066"/>
      <c r="AG801" s="2066"/>
      <c r="AH801" s="2066"/>
      <c r="AI801" s="2066"/>
      <c r="AJ801" s="2066"/>
      <c r="AK801" s="206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37" t="s">
        <v>873</v>
      </c>
      <c r="C802" s="2037"/>
      <c r="D802" s="2037"/>
      <c r="E802" s="2037"/>
      <c r="F802" s="2037"/>
      <c r="G802" s="2037"/>
      <c r="H802" s="2037"/>
      <c r="I802" s="2037"/>
      <c r="J802" s="2037"/>
      <c r="K802" s="2037"/>
      <c r="L802" s="2037"/>
      <c r="M802" s="2037"/>
      <c r="N802" s="2037"/>
      <c r="O802" s="2037"/>
      <c r="P802" s="2037"/>
      <c r="Q802" s="2037"/>
      <c r="R802" s="2037"/>
      <c r="S802" s="2038"/>
      <c r="T802" s="2063">
        <f>AK458</f>
        <v>10</v>
      </c>
      <c r="U802" s="2063"/>
      <c r="V802" s="2063"/>
      <c r="W802" s="2063"/>
      <c r="X802" s="2063"/>
      <c r="Y802" s="2063"/>
      <c r="Z802" s="2069">
        <v>10</v>
      </c>
      <c r="AA802" s="2070"/>
      <c r="AB802" s="2070"/>
      <c r="AC802" s="2070"/>
      <c r="AD802" s="2070"/>
      <c r="AE802" s="2071"/>
      <c r="AF802" s="2006">
        <f>IF(T802&gt;Z802,Z802,T802)</f>
        <v>10</v>
      </c>
      <c r="AG802" s="2006"/>
      <c r="AH802" s="2006"/>
      <c r="AI802" s="2006"/>
      <c r="AJ802" s="2006"/>
      <c r="AK802" s="200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37" t="s">
        <v>1736</v>
      </c>
      <c r="C803" s="2037"/>
      <c r="D803" s="2037"/>
      <c r="E803" s="2037"/>
      <c r="F803" s="2037"/>
      <c r="G803" s="2037"/>
      <c r="H803" s="2037"/>
      <c r="I803" s="2037"/>
      <c r="J803" s="2037"/>
      <c r="K803" s="2037"/>
      <c r="L803" s="2037"/>
      <c r="M803" s="2037"/>
      <c r="N803" s="2037"/>
      <c r="O803" s="2037"/>
      <c r="P803" s="2037"/>
      <c r="Q803" s="2037"/>
      <c r="R803" s="2037"/>
      <c r="S803" s="2038"/>
      <c r="T803" s="2063">
        <f>AK548</f>
        <v>12</v>
      </c>
      <c r="U803" s="2063"/>
      <c r="V803" s="2063"/>
      <c r="W803" s="2063"/>
      <c r="X803" s="2063"/>
      <c r="Y803" s="2063"/>
      <c r="Z803" s="2069">
        <v>12</v>
      </c>
      <c r="AA803" s="2070"/>
      <c r="AB803" s="2070"/>
      <c r="AC803" s="2070"/>
      <c r="AD803" s="2070"/>
      <c r="AE803" s="2071"/>
      <c r="AF803" s="2006">
        <f>IF(T803&gt;Z803,Z803,T803)</f>
        <v>12</v>
      </c>
      <c r="AG803" s="2006"/>
      <c r="AH803" s="2006"/>
      <c r="AI803" s="2006"/>
      <c r="AJ803" s="2006"/>
      <c r="AK803" s="200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37" t="s">
        <v>1758</v>
      </c>
      <c r="C804" s="2037"/>
      <c r="D804" s="2037"/>
      <c r="E804" s="2037"/>
      <c r="F804" s="2037"/>
      <c r="G804" s="2037"/>
      <c r="H804" s="2037"/>
      <c r="I804" s="2037"/>
      <c r="J804" s="2037"/>
      <c r="K804" s="2037"/>
      <c r="L804" s="2037"/>
      <c r="M804" s="2037"/>
      <c r="N804" s="2037"/>
      <c r="O804" s="2037"/>
      <c r="P804" s="2037"/>
      <c r="Q804" s="2037"/>
      <c r="R804" s="2037"/>
      <c r="S804" s="2038"/>
      <c r="T804" s="2063">
        <f>AK779</f>
        <v>10</v>
      </c>
      <c r="U804" s="2063"/>
      <c r="V804" s="2063"/>
      <c r="W804" s="2063"/>
      <c r="X804" s="2063"/>
      <c r="Y804" s="2063"/>
      <c r="Z804" s="2069">
        <v>10</v>
      </c>
      <c r="AA804" s="2070"/>
      <c r="AB804" s="2070"/>
      <c r="AC804" s="2070"/>
      <c r="AD804" s="2070"/>
      <c r="AE804" s="2071"/>
      <c r="AF804" s="2006">
        <f>IF(T804&gt;Z804,Z804,T804)</f>
        <v>10</v>
      </c>
      <c r="AG804" s="2006"/>
      <c r="AH804" s="2006"/>
      <c r="AI804" s="2006"/>
      <c r="AJ804" s="2006"/>
      <c r="AK804" s="200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7" t="s">
        <v>1759</v>
      </c>
      <c r="B805" s="2037"/>
      <c r="C805" s="2037"/>
      <c r="D805" s="2037"/>
      <c r="E805" s="2037"/>
      <c r="F805" s="2037"/>
      <c r="G805" s="2037"/>
      <c r="H805" s="2037"/>
      <c r="I805" s="2037"/>
      <c r="J805" s="2037"/>
      <c r="K805" s="2037"/>
      <c r="L805" s="2037"/>
      <c r="M805" s="2037"/>
      <c r="N805" s="2037"/>
      <c r="O805" s="2037"/>
      <c r="P805" s="2037"/>
      <c r="Q805" s="2037"/>
      <c r="R805" s="2037"/>
      <c r="S805" s="2038"/>
      <c r="T805" s="2068"/>
      <c r="U805" s="2068"/>
      <c r="V805" s="2068"/>
      <c r="W805" s="2068"/>
      <c r="X805" s="2068"/>
      <c r="Y805" s="2068"/>
      <c r="Z805" s="1944" t="s">
        <v>1760</v>
      </c>
      <c r="AA805" s="1944"/>
      <c r="AB805" s="1944"/>
      <c r="AC805" s="1944"/>
      <c r="AD805" s="1944"/>
      <c r="AE805" s="1944"/>
      <c r="AF805" s="2069">
        <f>IF(T805&gt;0,T805,0)</f>
        <v>0</v>
      </c>
      <c r="AG805" s="2070"/>
      <c r="AH805" s="2070"/>
      <c r="AI805" s="2070"/>
      <c r="AJ805" s="2070"/>
      <c r="AK805" s="207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2" t="s">
        <v>1761</v>
      </c>
      <c r="B806" s="2073"/>
      <c r="C806" s="2073"/>
      <c r="D806" s="2073"/>
      <c r="E806" s="2073"/>
      <c r="F806" s="2073"/>
      <c r="G806" s="2073"/>
      <c r="H806" s="2073"/>
      <c r="I806" s="2073"/>
      <c r="J806" s="2073"/>
      <c r="K806" s="2073"/>
      <c r="L806" s="2073"/>
      <c r="M806" s="2073"/>
      <c r="N806" s="2073"/>
      <c r="O806" s="2073"/>
      <c r="P806" s="2073"/>
      <c r="Q806" s="2073"/>
      <c r="R806" s="2073"/>
      <c r="S806" s="2073"/>
      <c r="T806" s="2073"/>
      <c r="U806" s="2073"/>
      <c r="V806" s="2073"/>
      <c r="W806" s="2073"/>
      <c r="X806" s="2073"/>
      <c r="Y806" s="2073"/>
      <c r="Z806" s="2073"/>
      <c r="AA806" s="2073"/>
      <c r="AB806" s="2073"/>
      <c r="AC806" s="2073"/>
      <c r="AD806" s="2073"/>
      <c r="AE806" s="2074"/>
      <c r="AF806" s="2078">
        <f ca="1">SUM(AF789:AK804)-AF805</f>
        <v>120</v>
      </c>
      <c r="AG806" s="2079"/>
      <c r="AH806" s="2079"/>
      <c r="AI806" s="2079"/>
      <c r="AJ806" s="2079"/>
      <c r="AK806" s="208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5"/>
      <c r="B807" s="2076"/>
      <c r="C807" s="2076"/>
      <c r="D807" s="2076"/>
      <c r="E807" s="2076"/>
      <c r="F807" s="2076"/>
      <c r="G807" s="2076"/>
      <c r="H807" s="2076"/>
      <c r="I807" s="2076"/>
      <c r="J807" s="2076"/>
      <c r="K807" s="2076"/>
      <c r="L807" s="2076"/>
      <c r="M807" s="2076"/>
      <c r="N807" s="2076"/>
      <c r="O807" s="2076"/>
      <c r="P807" s="2076"/>
      <c r="Q807" s="2076"/>
      <c r="R807" s="2076"/>
      <c r="S807" s="2076"/>
      <c r="T807" s="2076"/>
      <c r="U807" s="2076"/>
      <c r="V807" s="2076"/>
      <c r="W807" s="2076"/>
      <c r="X807" s="2076"/>
      <c r="Y807" s="2076"/>
      <c r="Z807" s="2076"/>
      <c r="AA807" s="2076"/>
      <c r="AB807" s="2076"/>
      <c r="AC807" s="2076"/>
      <c r="AD807" s="2076"/>
      <c r="AE807" s="2077"/>
      <c r="AF807" s="2081"/>
      <c r="AG807" s="2082"/>
      <c r="AH807" s="2082"/>
      <c r="AI807" s="2082"/>
      <c r="AJ807" s="2082"/>
      <c r="AK807" s="208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72" sqref="G72"/>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8" t="s">
        <v>1762</v>
      </c>
      <c r="B1" s="2128"/>
      <c r="C1" s="2128"/>
      <c r="D1" s="2128"/>
      <c r="E1" s="2128"/>
      <c r="F1" s="2128"/>
      <c r="G1" s="2128"/>
      <c r="H1" s="2128"/>
      <c r="I1" s="2128"/>
      <c r="J1" s="2128"/>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14885976</v>
      </c>
      <c r="I3" s="1154"/>
    </row>
    <row r="4" spans="1:13" s="1095" customFormat="1" ht="20.100000000000001" customHeight="1">
      <c r="B4" s="1143"/>
      <c r="D4" s="1157"/>
      <c r="F4" s="1141" t="s">
        <v>2385</v>
      </c>
      <c r="G4" s="1140" t="s">
        <v>2384</v>
      </c>
      <c r="H4" s="1142">
        <f>I16</f>
        <v>37631642.049019605</v>
      </c>
      <c r="I4" s="1144"/>
      <c r="K4" s="1099"/>
    </row>
    <row r="5" spans="1:13" s="1095" customFormat="1" ht="20.100000000000001" customHeight="1" thickBot="1">
      <c r="B5" s="1145"/>
      <c r="C5" s="1146"/>
      <c r="D5" s="1158"/>
      <c r="E5" s="1147"/>
      <c r="F5" s="1158" t="s">
        <v>2325</v>
      </c>
      <c r="G5" s="1159"/>
      <c r="H5" s="1155">
        <f>H3/H4</f>
        <v>0.39557072690607759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0" t="s">
        <v>2323</v>
      </c>
      <c r="C8" s="2131"/>
      <c r="D8" s="2131"/>
      <c r="E8" s="2132"/>
      <c r="G8" s="2133" t="s">
        <v>2324</v>
      </c>
      <c r="H8" s="2134"/>
      <c r="I8" s="2135"/>
      <c r="K8" s="1101"/>
    </row>
    <row r="9" spans="1:13" ht="15" customHeight="1">
      <c r="A9" s="1090"/>
      <c r="B9" s="2129" t="s">
        <v>2362</v>
      </c>
      <c r="C9" s="2129"/>
      <c r="D9" s="2129"/>
      <c r="E9" s="1103">
        <f>G31</f>
        <v>7050000</v>
      </c>
      <c r="G9" s="2138" t="s">
        <v>2360</v>
      </c>
      <c r="H9" s="2138"/>
      <c r="I9" s="1104">
        <f>Application!AM550</f>
        <v>23965000</v>
      </c>
      <c r="K9" s="1105"/>
      <c r="M9" s="1106"/>
    </row>
    <row r="10" spans="1:13" ht="15" customHeight="1" thickBot="1">
      <c r="A10" s="1090"/>
      <c r="B10" s="2129" t="s">
        <v>2363</v>
      </c>
      <c r="C10" s="2129"/>
      <c r="D10" s="2129"/>
      <c r="E10" s="1104">
        <f>G40</f>
        <v>6467976.0000000009</v>
      </c>
      <c r="G10" s="2138" t="s">
        <v>2326</v>
      </c>
      <c r="H10" s="2138"/>
      <c r="I10" s="1191">
        <f>'Basis &amp; Credits'!AB77</f>
        <v>13136192</v>
      </c>
      <c r="M10" s="1106"/>
    </row>
    <row r="11" spans="1:13" ht="15" customHeight="1">
      <c r="A11" s="1107"/>
      <c r="B11" s="2129" t="s">
        <v>2364</v>
      </c>
      <c r="C11" s="2129"/>
      <c r="D11" s="2129"/>
      <c r="E11" s="1104">
        <f>G49</f>
        <v>0</v>
      </c>
      <c r="G11" s="2138" t="s">
        <v>2375</v>
      </c>
      <c r="H11" s="2138"/>
      <c r="I11" s="1190">
        <f>I9+I10</f>
        <v>37101192</v>
      </c>
      <c r="M11" s="1106"/>
    </row>
    <row r="12" spans="1:13" ht="15" customHeight="1">
      <c r="A12" s="1093"/>
      <c r="B12" s="2129" t="s">
        <v>2365</v>
      </c>
      <c r="C12" s="2129"/>
      <c r="D12" s="2129"/>
      <c r="E12" s="1104">
        <f>G58</f>
        <v>240000</v>
      </c>
      <c r="G12" s="1192" t="s">
        <v>2400</v>
      </c>
      <c r="H12" s="1193"/>
      <c r="M12" s="1106"/>
    </row>
    <row r="13" spans="1:13" ht="15" customHeight="1">
      <c r="A13" s="1090"/>
      <c r="B13" s="2129" t="s">
        <v>2366</v>
      </c>
      <c r="C13" s="2129"/>
      <c r="D13" s="2129"/>
      <c r="E13" s="1109">
        <f>G83</f>
        <v>1128000</v>
      </c>
      <c r="G13" s="2139" t="s">
        <v>140</v>
      </c>
      <c r="H13" s="2139"/>
      <c r="I13" s="1108">
        <f>15%*(Application!AJ963&gt;0)</f>
        <v>0</v>
      </c>
      <c r="M13" s="1106"/>
    </row>
    <row r="14" spans="1:13" ht="15" customHeight="1">
      <c r="A14" s="1090"/>
      <c r="B14" s="2129" t="s">
        <v>2367</v>
      </c>
      <c r="C14" s="2129"/>
      <c r="D14" s="2129"/>
      <c r="E14" s="1104">
        <f>IF(G96&gt;G106,G96,0)</f>
        <v>0</v>
      </c>
      <c r="G14" s="1188" t="s">
        <v>2376</v>
      </c>
      <c r="H14" s="1188"/>
      <c r="I14" s="1108">
        <f>IF(Application!AJ997&gt;0,10%,IF(Application!AJ1001&gt;0,5%,0))</f>
        <v>0</v>
      </c>
      <c r="M14" s="1106"/>
    </row>
    <row r="15" spans="1:13" ht="15" customHeight="1" thickBot="1">
      <c r="A15" s="1090"/>
      <c r="B15" s="2136" t="s">
        <v>2386</v>
      </c>
      <c r="C15" s="2136"/>
      <c r="D15" s="2136"/>
      <c r="E15" s="1160">
        <f>IF(E14&gt;0,0,G106)</f>
        <v>0</v>
      </c>
      <c r="G15" s="2142" t="s">
        <v>2377</v>
      </c>
      <c r="H15" s="2143"/>
      <c r="I15" s="1162">
        <f>G114</f>
        <v>-1.4297385620915032E-2</v>
      </c>
      <c r="M15" s="1106"/>
    </row>
    <row r="16" spans="1:13" ht="15" customHeight="1">
      <c r="A16" s="1090"/>
      <c r="B16" s="2137" t="s">
        <v>2322</v>
      </c>
      <c r="C16" s="2137"/>
      <c r="D16" s="2137"/>
      <c r="E16" s="1161">
        <f>SUM(E9:E15)</f>
        <v>14885976</v>
      </c>
      <c r="G16" s="1189" t="s">
        <v>2361</v>
      </c>
      <c r="H16" s="1189"/>
      <c r="I16" s="1163">
        <f>I11-((I11*I13)+(I11*I14)+(I11*I15))</f>
        <v>37631642.049019605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115</v>
      </c>
      <c r="O18" s="1133" t="s">
        <v>591</v>
      </c>
      <c r="P18" s="1088">
        <f>MATCH(Application!T189,Application!BP656:BP713,0)</f>
        <v>31</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386</v>
      </c>
    </row>
    <row r="20" spans="1:20" ht="15" customHeight="1">
      <c r="A20" s="1093"/>
      <c r="C20" s="2140" t="s">
        <v>2379</v>
      </c>
      <c r="D20" s="2140" t="s">
        <v>2380</v>
      </c>
      <c r="E20" s="2140" t="s">
        <v>2381</v>
      </c>
      <c r="F20" s="2140" t="s">
        <v>2382</v>
      </c>
      <c r="G20" s="2140" t="s">
        <v>2378</v>
      </c>
      <c r="H20" s="1117"/>
      <c r="I20" s="1116"/>
      <c r="L20" s="1088">
        <f>IFERROR(MIN(4,MATCH(Application!B714,UnitSizes,0)-1),"")</f>
        <v>1</v>
      </c>
      <c r="M20" s="1110">
        <f>Application!G714</f>
        <v>4</v>
      </c>
      <c r="N20" s="1118">
        <f>Application!AC714</f>
        <v>0.3</v>
      </c>
      <c r="O20" s="1118">
        <f>IF(Cdlac[[#This Row],[Quantity]]&gt;0,IF(Cdlac[[#This Row],[Federal]],30%,IF($G$36,40%,Cdlac[[#This Row],[iAMI]])),"")</f>
        <v>0.3</v>
      </c>
      <c r="P20" s="1110" cm="1">
        <f t="array" ref="P20">IF(Cdlac[[#This Row],[Quantity]]&gt;0,INDEX(TcacRents,$P$18,Cdlac[[#This Row],[Bedrooms]]+1)*Cdlac[[#This Row],[AMI]],"")</f>
        <v>570</v>
      </c>
      <c r="Q20" s="1110" cm="1">
        <f t="array" ref="Q20">IF(Cdlac[[#This Row],[Quantity]]&gt;0,INDEX(HudFmrs,$P$18,Cdlac[[#This Row],[Bedrooms]]+1),"")</f>
        <v>1228</v>
      </c>
      <c r="R20" s="1110">
        <f>IF(Cdlac[[#This Row],[Quantity]]&gt;0,MAX(0,Cdlac[[#This Row],[Fair Market Rent]]-Cdlac[[#This Row],[Restricted Rent]]),"")</f>
        <v>658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1"/>
      <c r="D21" s="2141"/>
      <c r="E21" s="2141"/>
      <c r="F21" s="2141"/>
      <c r="G21" s="2141"/>
      <c r="H21" s="1117"/>
      <c r="I21" s="1116"/>
      <c r="L21" s="1088">
        <f>IFERROR(MIN(4,MATCH(Application!B715,UnitSizes,0)-1),"")</f>
        <v>1</v>
      </c>
      <c r="M21" s="1110">
        <f>Application!G715</f>
        <v>14</v>
      </c>
      <c r="N21" s="1118">
        <f>Application!AC715</f>
        <v>0.5</v>
      </c>
      <c r="O21" s="1118">
        <f>IF(Cdlac[[#This Row],[Quantity]]&gt;0,IF(Cdlac[[#This Row],[Federal]],30%,IF($G$36,40%,Cdlac[[#This Row],[iAMI]])),"")</f>
        <v>0.5</v>
      </c>
      <c r="P21" s="1110" cm="1">
        <f t="array" ref="P21">IF(Cdlac[[#This Row],[Quantity]]&gt;0,INDEX(TcacRents,$P$18,Cdlac[[#This Row],[Bedrooms]]+1)*Cdlac[[#This Row],[AMI]],"")</f>
        <v>950</v>
      </c>
      <c r="Q21" s="1110" cm="1">
        <f t="array" ref="Q21">IF(Cdlac[[#This Row],[Quantity]]&gt;0,INDEX(HudFmrs,$P$18,Cdlac[[#This Row],[Bedrooms]]+1),"")</f>
        <v>1228</v>
      </c>
      <c r="R21" s="1110">
        <f>IF(Cdlac[[#This Row],[Quantity]]&gt;0,MAX(0,Cdlac[[#This Row],[Fair Market Rent]]-Cdlac[[#This Row],[Restricted Rent]]),"")</f>
        <v>278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21</v>
      </c>
      <c r="N22" s="1118">
        <f>Application!AC716</f>
        <v>0.7</v>
      </c>
      <c r="O22" s="1118">
        <f>IF(Cdlac[[#This Row],[Quantity]]&gt;0,IF(Cdlac[[#This Row],[Federal]],30%,IF($G$36,40%,Cdlac[[#This Row],[iAMI]])),"")</f>
        <v>0.7</v>
      </c>
      <c r="P22" s="1110" cm="1">
        <f t="array" ref="P22">IF(Cdlac[[#This Row],[Quantity]]&gt;0,INDEX(TcacRents,$P$18,Cdlac[[#This Row],[Bedrooms]]+1)*Cdlac[[#This Row],[AMI]],"")</f>
        <v>1330</v>
      </c>
      <c r="Q22" s="1110" cm="1">
        <f t="array" ref="Q22">IF(Cdlac[[#This Row],[Quantity]]&gt;0,INDEX(HudFmrs,$P$18,Cdlac[[#This Row],[Bedrooms]]+1),"")</f>
        <v>1228</v>
      </c>
      <c r="R22" s="1110">
        <f>IF(Cdlac[[#This Row],[Quantity]]&gt;0,MAX(0,Cdlac[[#This Row],[Fair Market Rent]]-Cdlac[[#This Row],[Restricted Rent]]),"")</f>
        <v>0</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40</v>
      </c>
      <c r="F23" s="1119">
        <f>E23</f>
        <v>40</v>
      </c>
      <c r="G23" s="1119">
        <f>D23*F23</f>
        <v>40</v>
      </c>
      <c r="L23" s="1088">
        <f>IFERROR(MIN(4,MATCH(Application!B717,UnitSizes,0)-1),"")</f>
        <v>1</v>
      </c>
      <c r="M23" s="1110">
        <f>Application!G717</f>
        <v>1</v>
      </c>
      <c r="N23" s="1118">
        <f>Application!AC717</f>
        <v>0.8</v>
      </c>
      <c r="O23" s="1118">
        <f>IF(Cdlac[[#This Row],[Quantity]]&gt;0,IF(Cdlac[[#This Row],[Federal]],30%,IF($G$36,40%,Cdlac[[#This Row],[iAMI]])),"")</f>
        <v>0.8</v>
      </c>
      <c r="P23" s="1110" cm="1">
        <f t="array" ref="P23">IF(Cdlac[[#This Row],[Quantity]]&gt;0,INDEX(TcacRents,$P$18,Cdlac[[#This Row],[Bedrooms]]+1)*Cdlac[[#This Row],[AMI]],"")</f>
        <v>1520</v>
      </c>
      <c r="Q23" s="1110" cm="1">
        <f t="array" ref="Q23">IF(Cdlac[[#This Row],[Quantity]]&gt;0,INDEX(HudFmrs,$P$18,Cdlac[[#This Row],[Bedrooms]]+1),"")</f>
        <v>1228</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46</v>
      </c>
      <c r="F24" s="1122">
        <f>SUM(E24:E26)-SUM(F25:F26)</f>
        <v>46</v>
      </c>
      <c r="G24" s="1119">
        <f>D24*F24</f>
        <v>57.5</v>
      </c>
      <c r="H24" s="1121"/>
      <c r="I24" s="1121"/>
      <c r="L24" s="1088">
        <f>IFERROR(MIN(4,MATCH(Application!B718,UnitSizes,0)-1),"")</f>
        <v>2</v>
      </c>
      <c r="M24" s="1110">
        <f>Application!G718</f>
        <v>2</v>
      </c>
      <c r="N24" s="1118">
        <f>Application!AC718</f>
        <v>0.3</v>
      </c>
      <c r="O24" s="1118">
        <f>IF(Cdlac[[#This Row],[Quantity]]&gt;0,IF(Cdlac[[#This Row],[Federal]],30%,IF($G$36,40%,Cdlac[[#This Row],[iAMI]])),"")</f>
        <v>0.3</v>
      </c>
      <c r="P24" s="1110" cm="1">
        <f t="array" ref="P24">IF(Cdlac[[#This Row],[Quantity]]&gt;0,INDEX(TcacRents,$P$18,Cdlac[[#This Row],[Bedrooms]]+1)*Cdlac[[#This Row],[AMI]],"")</f>
        <v>684</v>
      </c>
      <c r="Q24" s="1110" cm="1">
        <f t="array" ref="Q24">IF(Cdlac[[#This Row],[Quantity]]&gt;0,INDEX(HudFmrs,$P$18,Cdlac[[#This Row],[Bedrooms]]+1),"")</f>
        <v>1543</v>
      </c>
      <c r="R24" s="1110">
        <f>IF(Cdlac[[#This Row],[Quantity]]&gt;0,MAX(0,Cdlac[[#This Row],[Fair Market Rent]]-Cdlac[[#This Row],[Restricted Rent]]),"")</f>
        <v>859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29</v>
      </c>
      <c r="F25" s="1122">
        <f>MIN(E25,ROUNDDOWN(E27*30%,0))</f>
        <v>29</v>
      </c>
      <c r="G25" s="1119">
        <f>D25*F25</f>
        <v>43.5</v>
      </c>
      <c r="H25" s="1121"/>
      <c r="I25" s="1121"/>
      <c r="L25" s="1088">
        <f>IFERROR(MIN(4,MATCH(Application!B719,UnitSizes,0)-1),"")</f>
        <v>2</v>
      </c>
      <c r="M25" s="1110">
        <f>Application!G719</f>
        <v>7</v>
      </c>
      <c r="N25" s="1118">
        <f>Application!AC719</f>
        <v>0.5</v>
      </c>
      <c r="O25" s="1118">
        <f>IF(Cdlac[[#This Row],[Quantity]]&gt;0,IF(Cdlac[[#This Row],[Federal]],30%,IF($G$36,40%,Cdlac[[#This Row],[iAMI]])),"")</f>
        <v>0.5</v>
      </c>
      <c r="P25" s="1110" cm="1">
        <f t="array" ref="P25">IF(Cdlac[[#This Row],[Quantity]]&gt;0,INDEX(TcacRents,$P$18,Cdlac[[#This Row],[Bedrooms]]+1)*Cdlac[[#This Row],[AMI]],"")</f>
        <v>1140</v>
      </c>
      <c r="Q25" s="1110" cm="1">
        <f t="array" ref="Q25">IF(Cdlac[[#This Row],[Quantity]]&gt;0,INDEX(HudFmrs,$P$18,Cdlac[[#This Row],[Bedrooms]]+1),"")</f>
        <v>1543</v>
      </c>
      <c r="R25" s="1110">
        <f>IF(Cdlac[[#This Row],[Quantity]]&gt;0,MAX(0,Cdlac[[#This Row],[Fair Market Rent]]-Cdlac[[#This Row],[Restricted Rent]]),"")</f>
        <v>403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11</v>
      </c>
      <c r="N26" s="1118">
        <f>Application!AC720</f>
        <v>0.7</v>
      </c>
      <c r="O26" s="1118">
        <f>IF(Cdlac[[#This Row],[Quantity]]&gt;0,IF(Cdlac[[#This Row],[Federal]],30%,IF($G$36,40%,Cdlac[[#This Row],[iAMI]])),"")</f>
        <v>0.7</v>
      </c>
      <c r="P26" s="1110" cm="1">
        <f t="array" ref="P26">IF(Cdlac[[#This Row],[Quantity]]&gt;0,INDEX(TcacRents,$P$18,Cdlac[[#This Row],[Bedrooms]]+1)*Cdlac[[#This Row],[AMI]],"")</f>
        <v>1596</v>
      </c>
      <c r="Q26" s="1110" cm="1">
        <f t="array" ref="Q26">IF(Cdlac[[#This Row],[Quantity]]&gt;0,INDEX(HudFmrs,$P$18,Cdlac[[#This Row],[Bedrooms]]+1),"")</f>
        <v>1543</v>
      </c>
      <c r="R26" s="1110">
        <f>IF(Cdlac[[#This Row],[Quantity]]&gt;0,MAX(0,Cdlac[[#This Row],[Fair Market Rent]]-Cdlac[[#This Row],[Restricted Rent]]),"")</f>
        <v>0</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24" t="s">
        <v>1763</v>
      </c>
      <c r="D27" s="2125"/>
      <c r="E27" s="1138">
        <f>SUM(E22:E26)</f>
        <v>115</v>
      </c>
      <c r="F27" s="1138">
        <f>SUM(F22:F26)</f>
        <v>115</v>
      </c>
      <c r="G27" s="1139">
        <f>SUMPRODUCT(D22:D26,F22:F26)</f>
        <v>141</v>
      </c>
      <c r="H27" s="1121"/>
      <c r="I27" s="1121"/>
      <c r="L27" s="1088">
        <f>IFERROR(MIN(4,MATCH(Application!B721,UnitSizes,0)-1),"")</f>
        <v>2</v>
      </c>
      <c r="M27" s="1110">
        <f>Application!G721</f>
        <v>3</v>
      </c>
      <c r="N27" s="1118">
        <f>Application!AC721</f>
        <v>0.3</v>
      </c>
      <c r="O27" s="1118">
        <f>IF(Cdlac[[#This Row],[Quantity]]&gt;0,IF(Cdlac[[#This Row],[Federal]],30%,IF($G$36,40%,Cdlac[[#This Row],[iAMI]])),"")</f>
        <v>0.3</v>
      </c>
      <c r="P27" s="1110" cm="1">
        <f t="array" ref="P27">IF(Cdlac[[#This Row],[Quantity]]&gt;0,INDEX(TcacRents,$P$18,Cdlac[[#This Row],[Bedrooms]]+1)*Cdlac[[#This Row],[AMI]],"")</f>
        <v>684</v>
      </c>
      <c r="Q27" s="1110" cm="1">
        <f t="array" ref="Q27">IF(Cdlac[[#This Row],[Quantity]]&gt;0,INDEX(HudFmrs,$P$18,Cdlac[[#This Row],[Bedrooms]]+1),"")</f>
        <v>1543</v>
      </c>
      <c r="R27" s="1110">
        <f>IF(Cdlac[[#This Row],[Quantity]]&gt;0,MAX(0,Cdlac[[#This Row],[Fair Market Rent]]-Cdlac[[#This Row],[Restricted Rent]]),"")</f>
        <v>859</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10</v>
      </c>
      <c r="N28" s="1118">
        <f>Application!AC722</f>
        <v>0.5</v>
      </c>
      <c r="O28" s="1118">
        <f>IF(Cdlac[[#This Row],[Quantity]]&gt;0,IF(Cdlac[[#This Row],[Federal]],30%,IF($G$36,40%,Cdlac[[#This Row],[iAMI]])),"")</f>
        <v>0.5</v>
      </c>
      <c r="P28" s="1110" cm="1">
        <f t="array" ref="P28">IF(Cdlac[[#This Row],[Quantity]]&gt;0,INDEX(TcacRents,$P$18,Cdlac[[#This Row],[Bedrooms]]+1)*Cdlac[[#This Row],[AMI]],"")</f>
        <v>1140</v>
      </c>
      <c r="Q28" s="1110" cm="1">
        <f t="array" ref="Q28">IF(Cdlac[[#This Row],[Quantity]]&gt;0,INDEX(HudFmrs,$P$18,Cdlac[[#This Row],[Bedrooms]]+1),"")</f>
        <v>1543</v>
      </c>
      <c r="R28" s="1110">
        <f>IF(Cdlac[[#This Row],[Quantity]]&gt;0,MAX(0,Cdlac[[#This Row],[Fair Market Rent]]-Cdlac[[#This Row],[Restricted Rent]]),"")</f>
        <v>403</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2378</v>
      </c>
      <c r="G29" s="1165">
        <f>G27</f>
        <v>141</v>
      </c>
      <c r="H29" s="1121"/>
      <c r="I29" s="1121"/>
      <c r="L29" s="1088">
        <f>IFERROR(MIN(4,MATCH(Application!B723,UnitSizes,0)-1),"")</f>
        <v>2</v>
      </c>
      <c r="M29" s="1110">
        <f>Application!G723</f>
        <v>12</v>
      </c>
      <c r="N29" s="1118">
        <f>Application!AC723</f>
        <v>0.7</v>
      </c>
      <c r="O29" s="1118">
        <f>IF(Cdlac[[#This Row],[Quantity]]&gt;0,IF(Cdlac[[#This Row],[Federal]],30%,IF($G$36,40%,Cdlac[[#This Row],[iAMI]])),"")</f>
        <v>0.7</v>
      </c>
      <c r="P29" s="1110" cm="1">
        <f t="array" ref="P29">IF(Cdlac[[#This Row],[Quantity]]&gt;0,INDEX(TcacRents,$P$18,Cdlac[[#This Row],[Bedrooms]]+1)*Cdlac[[#This Row],[AMI]],"")</f>
        <v>1596</v>
      </c>
      <c r="Q29" s="1110" cm="1">
        <f t="array" ref="Q29">IF(Cdlac[[#This Row],[Quantity]]&gt;0,INDEX(HudFmrs,$P$18,Cdlac[[#This Row],[Bedrooms]]+1),"")</f>
        <v>1543</v>
      </c>
      <c r="R29" s="1110">
        <f>IF(Cdlac[[#This Row],[Quantity]]&gt;0,MAX(0,Cdlac[[#This Row],[Fair Market Rent]]-Cdlac[[#This Row],[Restricted Rent]]),"")</f>
        <v>0</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f>IFERROR(MIN(4,MATCH(Application!B724,UnitSizes,0)-1),"")</f>
        <v>2</v>
      </c>
      <c r="M30" s="1110">
        <f>Application!G724</f>
        <v>1</v>
      </c>
      <c r="N30" s="1118">
        <f>Application!AC724</f>
        <v>0.8</v>
      </c>
      <c r="O30" s="1118">
        <f>IF(Cdlac[[#This Row],[Quantity]]&gt;0,IF(Cdlac[[#This Row],[Federal]],30%,IF($G$36,40%,Cdlac[[#This Row],[iAMI]])),"")</f>
        <v>0.8</v>
      </c>
      <c r="P30" s="1110" cm="1">
        <f t="array" ref="P30">IF(Cdlac[[#This Row],[Quantity]]&gt;0,INDEX(TcacRents,$P$18,Cdlac[[#This Row],[Bedrooms]]+1)*Cdlac[[#This Row],[AMI]],"")</f>
        <v>1824</v>
      </c>
      <c r="Q30" s="1110" cm="1">
        <f t="array" ref="Q30">IF(Cdlac[[#This Row],[Quantity]]&gt;0,INDEX(HudFmrs,$P$18,Cdlac[[#This Row],[Bedrooms]]+1),"")</f>
        <v>1543</v>
      </c>
      <c r="R30" s="1110">
        <f>IF(Cdlac[[#This Row],[Quantity]]&gt;0,MAX(0,Cdlac[[#This Row],[Fair Market Rent]]-Cdlac[[#This Row],[Restricted Rent]]),"")</f>
        <v>0</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2371</v>
      </c>
      <c r="F31" s="1090"/>
      <c r="G31" s="1170">
        <f>G30*G29</f>
        <v>7050000</v>
      </c>
      <c r="H31" s="1121"/>
      <c r="I31" s="1121"/>
      <c r="L31" s="1088">
        <f>IFERROR(MIN(4,MATCH(Application!B725,UnitSizes,0)-1),"")</f>
        <v>3</v>
      </c>
      <c r="M31" s="1110">
        <f>Application!G725</f>
        <v>3</v>
      </c>
      <c r="N31" s="1118">
        <f>Application!AC725</f>
        <v>0.3</v>
      </c>
      <c r="O31" s="1118">
        <f>IF(Cdlac[[#This Row],[Quantity]]&gt;0,IF(Cdlac[[#This Row],[Federal]],30%,IF($G$36,40%,Cdlac[[#This Row],[iAMI]])),"")</f>
        <v>0.3</v>
      </c>
      <c r="P31" s="1110" cm="1">
        <f t="array" ref="P31">IF(Cdlac[[#This Row],[Quantity]]&gt;0,INDEX(TcacRents,$P$18,Cdlac[[#This Row],[Bedrooms]]+1)*Cdlac[[#This Row],[AMI]],"")</f>
        <v>790.19999999999993</v>
      </c>
      <c r="Q31" s="1110" cm="1">
        <f t="array" ref="Q31">IF(Cdlac[[#This Row],[Quantity]]&gt;0,INDEX(HudFmrs,$P$18,Cdlac[[#This Row],[Bedrooms]]+1),"")</f>
        <v>2192</v>
      </c>
      <c r="R31" s="1110">
        <f>IF(Cdlac[[#This Row],[Quantity]]&gt;0,MAX(0,Cdlac[[#This Row],[Fair Market Rent]]-Cdlac[[#This Row],[Restricted Rent]]),"")</f>
        <v>1401.8000000000002</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10</v>
      </c>
      <c r="N32" s="1118">
        <f>Application!AC726</f>
        <v>0.5</v>
      </c>
      <c r="O32" s="1118">
        <f>IF(Cdlac[[#This Row],[Quantity]]&gt;0,IF(Cdlac[[#This Row],[Federal]],30%,IF($G$36,40%,Cdlac[[#This Row],[iAMI]])),"")</f>
        <v>0.5</v>
      </c>
      <c r="P32" s="1110" cm="1">
        <f t="array" ref="P32">IF(Cdlac[[#This Row],[Quantity]]&gt;0,INDEX(TcacRents,$P$18,Cdlac[[#This Row],[Bedrooms]]+1)*Cdlac[[#This Row],[AMI]],"")</f>
        <v>1317</v>
      </c>
      <c r="Q32" s="1110" cm="1">
        <f t="array" ref="Q32">IF(Cdlac[[#This Row],[Quantity]]&gt;0,INDEX(HudFmrs,$P$18,Cdlac[[#This Row],[Bedrooms]]+1),"")</f>
        <v>2192</v>
      </c>
      <c r="R32" s="1110">
        <f>IF(Cdlac[[#This Row],[Quantity]]&gt;0,MAX(0,Cdlac[[#This Row],[Fair Market Rent]]-Cdlac[[#This Row],[Restricted Rent]]),"")</f>
        <v>875</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15</v>
      </c>
      <c r="N33" s="1118">
        <f>Application!AC727</f>
        <v>0.7</v>
      </c>
      <c r="O33" s="1118">
        <f>IF(Cdlac[[#This Row],[Quantity]]&gt;0,IF(Cdlac[[#This Row],[Federal]],30%,IF($G$36,40%,Cdlac[[#This Row],[iAMI]])),"")</f>
        <v>0.7</v>
      </c>
      <c r="P33" s="1110" cm="1">
        <f t="array" ref="P33">IF(Cdlac[[#This Row],[Quantity]]&gt;0,INDEX(TcacRents,$P$18,Cdlac[[#This Row],[Bedrooms]]+1)*Cdlac[[#This Row],[AMI]],"")</f>
        <v>1843.8</v>
      </c>
      <c r="Q33" s="1110" cm="1">
        <f t="array" ref="Q33">IF(Cdlac[[#This Row],[Quantity]]&gt;0,INDEX(HudFmrs,$P$18,Cdlac[[#This Row],[Bedrooms]]+1),"")</f>
        <v>2192</v>
      </c>
      <c r="R33" s="1110">
        <f>IF(Cdlac[[#This Row],[Quantity]]&gt;0,MAX(0,Cdlac[[#This Row],[Fair Market Rent]]-Cdlac[[#This Row],[Restricted Rent]]),"")</f>
        <v>348.20000000000005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1</v>
      </c>
      <c r="N34" s="1118">
        <f>Application!AC728</f>
        <v>0.8</v>
      </c>
      <c r="O34" s="1118">
        <f>IF(Cdlac[[#This Row],[Quantity]]&gt;0,IF(Cdlac[[#This Row],[Federal]],30%,IF($G$36,40%,Cdlac[[#This Row],[iAMI]])),"")</f>
        <v>0.8</v>
      </c>
      <c r="P34" s="1110" cm="1">
        <f t="array" ref="P34">IF(Cdlac[[#This Row],[Quantity]]&gt;0,INDEX(TcacRents,$P$18,Cdlac[[#This Row],[Bedrooms]]+1)*Cdlac[[#This Row],[AMI]],"")</f>
        <v>2107.2000000000003</v>
      </c>
      <c r="Q34" s="1110" cm="1">
        <f t="array" ref="Q34">IF(Cdlac[[#This Row],[Quantity]]&gt;0,INDEX(HudFmrs,$P$18,Cdlac[[#This Row],[Bedrooms]]+1),"")</f>
        <v>2192</v>
      </c>
      <c r="R34" s="1110">
        <f>IF(Cdlac[[#This Row],[Quantity]]&gt;0,MAX(0,Cdlac[[#This Row],[Fair Market Rent]]-Cdlac[[#This Row],[Restricted Rent]]),"")</f>
        <v>84.799999999999727</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0.5895652173913043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35933.200000000004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6467976.0000000009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57</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12</v>
      </c>
    </row>
    <row r="54" spans="2:14" ht="15" customHeight="1">
      <c r="E54" s="1168" t="s">
        <v>2389</v>
      </c>
      <c r="G54" s="1126">
        <f>ROUNDDOWN(E27*50%,0)</f>
        <v>57</v>
      </c>
    </row>
    <row r="55" spans="2:14" ht="15" customHeight="1">
      <c r="E55" s="1168"/>
      <c r="G55" s="1126"/>
    </row>
    <row r="56" spans="2:14" ht="15" customHeight="1">
      <c r="E56" s="1168" t="s">
        <v>2340</v>
      </c>
      <c r="G56" s="1165">
        <f>MIN(G53:G54)</f>
        <v>12</v>
      </c>
    </row>
    <row r="57" spans="2:14" ht="15" customHeight="1">
      <c r="E57" s="1168" t="s">
        <v>2330</v>
      </c>
      <c r="F57" s="1164" t="s">
        <v>2387</v>
      </c>
      <c r="G57" s="1175">
        <v>20000</v>
      </c>
    </row>
    <row r="58" spans="2:14" ht="15" customHeight="1">
      <c r="E58" s="1169" t="s">
        <v>2369</v>
      </c>
      <c r="F58" s="1090"/>
      <c r="G58" s="1174">
        <f>G56*G57</f>
        <v>240000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0</v>
      </c>
      <c r="L62" s="1178" t="str">
        <f>'Points System'!H627</f>
        <v>(i)</v>
      </c>
      <c r="M62" s="2126" t="s">
        <v>1577</v>
      </c>
      <c r="N62" s="2127"/>
    </row>
    <row r="63" spans="2:14" ht="15" customHeight="1">
      <c r="E63" s="1133" t="s">
        <v>2330</v>
      </c>
      <c r="F63" s="1164" t="s">
        <v>2387</v>
      </c>
      <c r="G63" s="1123">
        <v>4000</v>
      </c>
      <c r="L63" s="1179" t="str">
        <f>'Points System'!H639</f>
        <v>N/A</v>
      </c>
      <c r="M63" s="2118" t="s">
        <v>2344</v>
      </c>
      <c r="N63" s="2119"/>
    </row>
    <row r="64" spans="2:14" ht="15" customHeight="1">
      <c r="E64" s="1133" t="s">
        <v>2391</v>
      </c>
      <c r="F64" s="1164" t="s">
        <v>2387</v>
      </c>
      <c r="G64" s="1177">
        <f>G27</f>
        <v>141</v>
      </c>
      <c r="L64" s="1179" t="str">
        <f>'Points System'!H674</f>
        <v>(iii)</v>
      </c>
      <c r="M64" s="2118" t="s">
        <v>2345</v>
      </c>
      <c r="N64" s="2119"/>
    </row>
    <row r="65" spans="2:14" ht="15" customHeight="1">
      <c r="E65" s="1169" t="s">
        <v>2349</v>
      </c>
      <c r="F65" s="1090"/>
      <c r="G65" s="1174">
        <f>G62*G63*G64</f>
        <v>0</v>
      </c>
      <c r="L65" s="1179" t="str">
        <f>'Points System'!H694</f>
        <v>(i)</v>
      </c>
      <c r="M65" s="2118" t="s">
        <v>2346</v>
      </c>
      <c r="N65" s="2119"/>
    </row>
    <row r="66" spans="2:14" ht="15" customHeight="1">
      <c r="C66" s="1124"/>
      <c r="G66" s="1165"/>
      <c r="L66" s="1180" t="str">
        <f>'Points System'!H708</f>
        <v>N/A</v>
      </c>
      <c r="M66" s="2118" t="s">
        <v>1603</v>
      </c>
      <c r="N66" s="2119"/>
    </row>
    <row r="67" spans="2:14" ht="15" customHeight="1">
      <c r="E67" s="1133" t="s">
        <v>2392</v>
      </c>
      <c r="G67" s="1177">
        <f>COUNTIFS(L62:L69,"(i)")</f>
        <v>2</v>
      </c>
      <c r="L67" s="1179" t="str">
        <f>'Points System'!H720</f>
        <v>N/A</v>
      </c>
      <c r="M67" s="2118" t="s">
        <v>2347</v>
      </c>
      <c r="N67" s="2119"/>
    </row>
    <row r="68" spans="2:14" ht="15" customHeight="1">
      <c r="E68" s="1133" t="s">
        <v>2330</v>
      </c>
      <c r="F68" s="1164" t="s">
        <v>2387</v>
      </c>
      <c r="G68" s="1175">
        <v>4000</v>
      </c>
      <c r="L68" s="1179" t="str">
        <f>'Points System'!H736</f>
        <v>N/A</v>
      </c>
      <c r="M68" s="2118" t="s">
        <v>2348</v>
      </c>
      <c r="N68" s="2119"/>
    </row>
    <row r="69" spans="2:14" ht="15" customHeight="1" thickBot="1">
      <c r="E69" s="1169" t="s">
        <v>2350</v>
      </c>
      <c r="F69" s="1090"/>
      <c r="G69" s="1174">
        <f>G64*G67*G68</f>
        <v>1128000</v>
      </c>
      <c r="L69" s="1181" t="str">
        <f>'Points System'!H748</f>
        <v>N/A</v>
      </c>
      <c r="M69" s="2120" t="s">
        <v>1606</v>
      </c>
      <c r="N69" s="2121"/>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row>
    <row r="75" spans="2:14" ht="15" customHeight="1">
      <c r="C75" s="1124" t="s">
        <v>2616</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141</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1128000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c r="L87" s="2122" t="s">
        <v>2357</v>
      </c>
      <c r="M87" s="2123"/>
      <c r="N87" s="1182">
        <v>30000</v>
      </c>
    </row>
    <row r="88" spans="2:14" ht="15" customHeight="1">
      <c r="C88" s="1124" t="s">
        <v>2374</v>
      </c>
      <c r="G88" s="1128" t="str">
        <f>IF(Application!D210="Large Family","Yes","No")</f>
        <v>Yes</v>
      </c>
      <c r="L88" s="2114" t="s">
        <v>2321</v>
      </c>
      <c r="M88" s="2115"/>
      <c r="N88" s="1183">
        <v>20000</v>
      </c>
    </row>
    <row r="89" spans="2:14" ht="15" customHeight="1" thickBot="1">
      <c r="C89" s="1124" t="s">
        <v>2355</v>
      </c>
      <c r="G89" s="1087"/>
      <c r="L89" s="2116" t="s">
        <v>2358</v>
      </c>
      <c r="M89" s="2117"/>
      <c r="N89" s="1184">
        <v>10000</v>
      </c>
    </row>
    <row r="90" spans="2:14" ht="15" customHeight="1">
      <c r="C90" s="1124" t="s">
        <v>2356</v>
      </c>
      <c r="G90" s="1088">
        <f>Application!T193</f>
        <v>0</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141</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141</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Placer</v>
      </c>
    </row>
    <row r="111" spans="2:9" ht="15" customHeight="1">
      <c r="E111" s="1133"/>
      <c r="G111" s="1125"/>
    </row>
    <row r="112" spans="2:9" ht="15" customHeight="1">
      <c r="E112" s="1133" t="str">
        <f>"2-Bedroom "&amp;G110&amp;" County Basis Limit"</f>
        <v>2-Bedroom Placer County Basis Limit</v>
      </c>
      <c r="G112" s="1125">
        <f>Application!R957</f>
        <v>461600</v>
      </c>
    </row>
    <row r="113" spans="4:9" ht="15" customHeight="1">
      <c r="E113" s="1133" t="s">
        <v>2395</v>
      </c>
      <c r="G113" s="1125">
        <f>MEDIAN((Application!BR795:BR852))</f>
        <v>489600</v>
      </c>
    </row>
    <row r="114" spans="4:9" ht="15" customHeight="1">
      <c r="D114" s="1090"/>
      <c r="E114" s="1169" t="s">
        <v>2397</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F90F7E85CD8C849853DB1709AEB9F95" ma:contentTypeVersion="4" ma:contentTypeDescription="Create a new document." ma:contentTypeScope="" ma:versionID="67e3b5bf71cca4e9559dc8687ed7bdce">
  <xsd:schema xmlns:xsd="http://www.w3.org/2001/XMLSchema" xmlns:xs="http://www.w3.org/2001/XMLSchema" xmlns:p="http://schemas.microsoft.com/office/2006/metadata/properties" xmlns:ns2="8b418b6a-42ee-4eb8-ae28-0ac0b20631f6" xmlns:ns3="a9d8134d-3034-4af2-95a0-a3316f96fd95" targetNamespace="http://schemas.microsoft.com/office/2006/metadata/properties" ma:root="true" ma:fieldsID="ff49775e14efe2268b894e4a911183b4" ns2:_="" ns3:_="">
    <xsd:import namespace="8b418b6a-42ee-4eb8-ae28-0ac0b20631f6"/>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418b6a-42ee-4eb8-ae28-0ac0b20631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678B7B-83B3-4DE5-9370-12DF31389FCC}">
  <ds:schemaRefs>
    <ds:schemaRef ds:uri="http://schemas.microsoft.com/sharepoint/v3/contenttype/forms"/>
  </ds:schemaRefs>
</ds:datastoreItem>
</file>

<file path=customXml/itemProps2.xml><?xml version="1.0" encoding="utf-8"?>
<ds:datastoreItem xmlns:ds="http://schemas.openxmlformats.org/officeDocument/2006/customXml" ds:itemID="{F61B336B-C55E-4D4B-9B54-3D248A5DE2A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F897B96-67F2-4B43-8FA2-5E67140594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418b6a-42ee-4eb8-ae28-0ac0b20631f6"/>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2023-02-02T20:57:34Z</cp:lastPrinted>
  <dcterms:created xsi:type="dcterms:W3CDTF">2007-12-27T18:26:28Z</dcterms:created>
  <dcterms:modified xsi:type="dcterms:W3CDTF">2023-02-03T00:58:34Z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0x010100DF90F7E85CD8C849853DB1709AEB9F95</vt:lpwstr>
  </property>
</Properties>
</file>